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tabRatio="181" activeTab="0"/>
  </bookViews>
  <sheets>
    <sheet name="LiPo" sheetId="1" r:id="rId1"/>
    <sheet name="A123" sheetId="2" r:id="rId2"/>
  </sheets>
  <definedNames>
    <definedName name="Excel_BuiltIn__FilterDatabase">'LiPo'!$E$5:$E$12</definedName>
  </definedNames>
  <calcPr fullCalcOnLoad="1"/>
</workbook>
</file>

<file path=xl/sharedStrings.xml><?xml version="1.0" encoding="utf-8"?>
<sst xmlns="http://schemas.openxmlformats.org/spreadsheetml/2006/main" count="258" uniqueCount="150">
  <si>
    <t>Spreadsheet for Outrunner motors &amp; Lithium Polymer Cells</t>
  </si>
  <si>
    <t>Date:</t>
  </si>
  <si>
    <t>There MUST be a 2-stroke displacement in cell B7 or a zero</t>
  </si>
  <si>
    <t>Type ONLY in the green boxes</t>
  </si>
  <si>
    <t>If no 4-stroke displacement available, zero MUST be in cell B8</t>
  </si>
  <si>
    <t>Name of Plane:</t>
  </si>
  <si>
    <t>Switchback Senior</t>
  </si>
  <si>
    <t>Outrunners</t>
  </si>
  <si>
    <t>watts in/</t>
  </si>
  <si>
    <t>Recommended Largest 2-stroke:</t>
  </si>
  <si>
    <t>displacement in cubic inches</t>
  </si>
  <si>
    <t>As of Feb. 06, 2013</t>
  </si>
  <si>
    <t xml:space="preserve">WCL </t>
  </si>
  <si>
    <t>WCL</t>
  </si>
  <si>
    <t>Recommended Largest 4-stroke:</t>
  </si>
  <si>
    <t>Wing cube loading levels &amp; "types"</t>
  </si>
  <si>
    <t>Avg.</t>
  </si>
  <si>
    <t>Median</t>
  </si>
  <si>
    <t>Mfg. Max. Weight:</t>
  </si>
  <si>
    <t>lb.</t>
  </si>
  <si>
    <r>
      <t>(</t>
    </r>
    <r>
      <rPr>
        <b/>
        <sz val="10"/>
        <rFont val="Verdana"/>
        <family val="2"/>
      </rPr>
      <t xml:space="preserve">Level 1 </t>
    </r>
    <r>
      <rPr>
        <sz val="10"/>
        <rFont val="Verdana"/>
        <family val="2"/>
      </rPr>
      <t xml:space="preserve"> 0.00 - 2.99) Indoor</t>
    </r>
  </si>
  <si>
    <t>Mfg. wing area:</t>
  </si>
  <si>
    <t>sq.in.</t>
  </si>
  <si>
    <t>(Level 2  3.00 - 4.99) Backyard</t>
  </si>
  <si>
    <r>
      <t xml:space="preserve">Desired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 xml:space="preserve"> per pound:</t>
    </r>
  </si>
  <si>
    <t>If in doubt, use 100</t>
  </si>
  <si>
    <r>
      <t>(</t>
    </r>
    <r>
      <rPr>
        <b/>
        <sz val="10"/>
        <rFont val="Verdana"/>
        <family val="2"/>
      </rPr>
      <t xml:space="preserve">Level 3 </t>
    </r>
    <r>
      <rPr>
        <sz val="10"/>
        <rFont val="Verdana"/>
        <family val="2"/>
      </rPr>
      <t xml:space="preserve"> 5.00 - 6.99) Park</t>
    </r>
  </si>
  <si>
    <t>Number used to calculate WCL:</t>
  </si>
  <si>
    <t>(Level 4  7.00 - 9.99) Sport/Trainer</t>
  </si>
  <si>
    <r>
      <t>Wing C</t>
    </r>
    <r>
      <rPr>
        <sz val="14"/>
        <rFont val="Geneva CE"/>
        <family val="2"/>
      </rPr>
      <t xml:space="preserve">ube </t>
    </r>
    <r>
      <rPr>
        <b/>
        <sz val="14"/>
        <rFont val="Geneva CE"/>
        <family val="2"/>
      </rPr>
      <t>L</t>
    </r>
    <r>
      <rPr>
        <sz val="14"/>
        <rFont val="Geneva CE"/>
        <family val="2"/>
      </rPr>
      <t>oading Factor:</t>
    </r>
  </si>
  <si>
    <r>
      <t>(</t>
    </r>
    <r>
      <rPr>
        <b/>
        <sz val="10"/>
        <rFont val="Verdana"/>
        <family val="2"/>
      </rPr>
      <t xml:space="preserve">Level 5 </t>
    </r>
    <r>
      <rPr>
        <sz val="10"/>
        <rFont val="Verdana"/>
        <family val="2"/>
      </rPr>
      <t xml:space="preserve"> 10.00 - 12.99) Adv. Sport</t>
    </r>
  </si>
  <si>
    <r>
      <t xml:space="preserve">Average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>:</t>
    </r>
  </si>
  <si>
    <t>from table</t>
  </si>
  <si>
    <t>(Level 6 13 - 16.99) Expert Sport</t>
  </si>
  <si>
    <r>
      <t xml:space="preserve">Median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>:</t>
    </r>
  </si>
  <si>
    <r>
      <t>(</t>
    </r>
    <r>
      <rPr>
        <b/>
        <sz val="10"/>
        <rFont val="Verdana"/>
        <family val="2"/>
      </rPr>
      <t>Level 7</t>
    </r>
    <r>
      <rPr>
        <sz val="10"/>
        <rFont val="Verdana"/>
        <family val="2"/>
      </rPr>
      <t xml:space="preserve"> 17+) Expert</t>
    </r>
  </si>
  <si>
    <t>NA</t>
  </si>
  <si>
    <t>Suggested Power:</t>
  </si>
  <si>
    <t>watts in</t>
  </si>
  <si>
    <t>Lightest Motor:</t>
  </si>
  <si>
    <t>g</t>
  </si>
  <si>
    <t>Heaviest Motor:</t>
  </si>
  <si>
    <r>
      <t xml:space="preserve">80% </t>
    </r>
    <r>
      <rPr>
        <u val="single"/>
        <sz val="14"/>
        <rFont val="Geneva CE"/>
        <family val="2"/>
      </rPr>
      <t>watts in:</t>
    </r>
  </si>
  <si>
    <r>
      <t xml:space="preserve">watts </t>
    </r>
    <r>
      <rPr>
        <b/>
        <sz val="14"/>
        <rFont val="Geneva CE"/>
        <family val="2"/>
      </rPr>
      <t>out</t>
    </r>
  </si>
  <si>
    <t>Largest Dia. Prop:</t>
  </si>
  <si>
    <t>in.</t>
  </si>
  <si>
    <t>Prop pitch:</t>
  </si>
  <si>
    <t>Target RPM:</t>
  </si>
  <si>
    <t>Pitch Speed:</t>
  </si>
  <si>
    <t>mph - verify with pitch speed table</t>
  </si>
  <si>
    <t>Stall Speed:</t>
  </si>
  <si>
    <t>mph</t>
  </si>
  <si>
    <t>Pitch Speed to Stall Speed:</t>
  </si>
  <si>
    <t>:1</t>
  </si>
  <si>
    <t>Prop Pitch Selection:</t>
  </si>
  <si>
    <t>For WCL Levels 1 - 3 pitch to diameter ratios of 50% to 60% are appropriate.</t>
  </si>
  <si>
    <t>For WCL Levels 4 - 7 pitch to diameter ratios of 70% to 80% are appropriate.</t>
  </si>
  <si>
    <t>WCL 1-3 pitches</t>
  </si>
  <si>
    <t>WCL 4-7 pitches</t>
  </si>
  <si>
    <t>Verify prop diameter and pitch actually exists at:</t>
  </si>
  <si>
    <t>https://www.apcprop.com/product-category/electric-motors/</t>
  </si>
  <si>
    <t>For APC props, NO SF props!  Use only E - thin electric, pattern or sport</t>
  </si>
  <si>
    <t>Input only into green cells.</t>
  </si>
  <si>
    <t>Review</t>
  </si>
  <si>
    <t>Results are in red cells.</t>
  </si>
  <si>
    <t>RTF Wt. Pounds:</t>
  </si>
  <si>
    <t>Target Pin:</t>
  </si>
  <si>
    <t>+ Watts In</t>
  </si>
  <si>
    <r>
      <t>Watts in</t>
    </r>
    <r>
      <rPr>
        <sz val="12"/>
        <rFont val="Arial"/>
        <family val="2"/>
      </rPr>
      <t xml:space="preserve"> per pound:</t>
    </r>
  </si>
  <si>
    <t>Pitch/Dia.:</t>
  </si>
  <si>
    <t>:1 Diameter to Pitch</t>
  </si>
  <si>
    <t>Cobra Airplane Motors</t>
  </si>
  <si>
    <t>Prop Diameter:</t>
  </si>
  <si>
    <t>Motor Weight:</t>
  </si>
  <si>
    <t>to</t>
  </si>
  <si>
    <t>grams</t>
  </si>
  <si>
    <t>Weight</t>
  </si>
  <si>
    <t>Prop Pitch:</t>
  </si>
  <si>
    <t>Series</t>
  </si>
  <si>
    <t>in grams</t>
  </si>
  <si>
    <t>Desired Flight Time:</t>
  </si>
  <si>
    <t>minutes</t>
  </si>
  <si>
    <t>5-8 minutes is typical</t>
  </si>
  <si>
    <t>C-2202</t>
  </si>
  <si>
    <t>C-2203</t>
  </si>
  <si>
    <t>Cobra Motors Web site:</t>
  </si>
  <si>
    <t>C-2204</t>
  </si>
  <si>
    <t>https://innov8tivedesigns.com/products/brushlessmotors/cobraairplanemotors.html</t>
  </si>
  <si>
    <t>C-2208</t>
  </si>
  <si>
    <t>C-2213</t>
  </si>
  <si>
    <t>Work Area:</t>
  </si>
  <si>
    <t>Input</t>
  </si>
  <si>
    <t>Motor</t>
  </si>
  <si>
    <t>Watts</t>
  </si>
  <si>
    <t>Prop</t>
  </si>
  <si>
    <t>Pitch</t>
  </si>
  <si>
    <t>C-2217</t>
  </si>
  <si>
    <t>Wt. grams</t>
  </si>
  <si>
    <t>Kv</t>
  </si>
  <si>
    <t>Io</t>
  </si>
  <si>
    <t>Voltage</t>
  </si>
  <si>
    <t>Amps</t>
  </si>
  <si>
    <t>RPM</t>
  </si>
  <si>
    <t>Speed</t>
  </si>
  <si>
    <t>C-2808</t>
  </si>
  <si>
    <t>C-2221</t>
  </si>
  <si>
    <t>C-2814</t>
  </si>
  <si>
    <t>C-2820</t>
  </si>
  <si>
    <t>C-3510</t>
  </si>
  <si>
    <t>C-2826</t>
  </si>
  <si>
    <t>C-3515</t>
  </si>
  <si>
    <t>C-3520</t>
  </si>
  <si>
    <t>C-3525</t>
  </si>
  <si>
    <t>C-4120</t>
  </si>
  <si>
    <t>C-4130</t>
  </si>
  <si>
    <t>System</t>
  </si>
  <si>
    <t>Vout/Vin</t>
  </si>
  <si>
    <t>ESC</t>
  </si>
  <si>
    <t># LiPo</t>
  </si>
  <si>
    <t>Batt.</t>
  </si>
  <si>
    <t>Safe</t>
  </si>
  <si>
    <t>Results:</t>
  </si>
  <si>
    <t>Output</t>
  </si>
  <si>
    <t>Eff.</t>
  </si>
  <si>
    <t>Cells</t>
  </si>
  <si>
    <t>mAh</t>
  </si>
  <si>
    <t>C-rate</t>
  </si>
  <si>
    <t>Spreadsheet for Outrunner Motors &amp; "A123" 2300mAh Cells</t>
  </si>
  <si>
    <t>As of August 22, 2011</t>
  </si>
  <si>
    <t>RTF Wt. using A123 Cells</t>
  </si>
  <si>
    <r>
      <t>W</t>
    </r>
    <r>
      <rPr>
        <sz val="14"/>
        <rFont val="Geneva CE"/>
        <family val="2"/>
      </rPr>
      <t xml:space="preserve">ing </t>
    </r>
    <r>
      <rPr>
        <b/>
        <sz val="14"/>
        <rFont val="Geneva CE"/>
        <family val="2"/>
      </rPr>
      <t>C</t>
    </r>
    <r>
      <rPr>
        <sz val="14"/>
        <rFont val="Geneva CE"/>
        <family val="2"/>
      </rPr>
      <t xml:space="preserve">ube </t>
    </r>
    <r>
      <rPr>
        <b/>
        <sz val="14"/>
        <rFont val="Geneva CE"/>
        <family val="2"/>
      </rPr>
      <t>L</t>
    </r>
    <r>
      <rPr>
        <sz val="14"/>
        <rFont val="Geneva CE"/>
        <family val="2"/>
      </rPr>
      <t>oading Factor:</t>
    </r>
  </si>
  <si>
    <t>https://www.apcprop.com/shop/</t>
  </si>
  <si>
    <t>https://innov8tivedesigns.com/parts/brushless-motors?cat=51</t>
  </si>
  <si>
    <t>Number</t>
  </si>
  <si>
    <t>Target</t>
  </si>
  <si>
    <t>Kv High</t>
  </si>
  <si>
    <t>Target Volts In</t>
  </si>
  <si>
    <t>A123 Cells</t>
  </si>
  <si>
    <t>+ 10%</t>
  </si>
  <si>
    <t>Wt. in grams</t>
  </si>
  <si>
    <t>Motor Weight Range:</t>
  </si>
  <si>
    <t>Possible Motor Choices</t>
  </si>
  <si>
    <t>Cobra C-2217/12 Brushless Motor, Kv=1550</t>
  </si>
  <si>
    <t>Cobra C-2814/10 Brushless Motor, Kv=1700</t>
  </si>
  <si>
    <t>Fledgling</t>
  </si>
  <si>
    <t>Cobra C-3520/10</t>
  </si>
  <si>
    <t>10X7E</t>
  </si>
  <si>
    <t>10X6E</t>
  </si>
  <si>
    <t>10X5E</t>
  </si>
  <si>
    <t>(AUW Actual)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</si>
</sst>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54">
    <font>
      <sz val="10"/>
      <name val="Verdana"/>
      <family val="2"/>
    </font>
    <font>
      <sz val="10"/>
      <name val="Arial"/>
      <family val="0"/>
    </font>
    <font>
      <sz val="14"/>
      <name val="Geneva CE"/>
      <family val="2"/>
    </font>
    <font>
      <b/>
      <sz val="14"/>
      <name val="Geneva CE"/>
      <family val="2"/>
    </font>
    <font>
      <b/>
      <sz val="14"/>
      <color indexed="8"/>
      <name val="Geneva CE"/>
      <family val="2"/>
    </font>
    <font>
      <u val="single"/>
      <sz val="10"/>
      <color indexed="12"/>
      <name val="Verdana"/>
      <family val="2"/>
    </font>
    <font>
      <u val="single"/>
      <sz val="14"/>
      <color indexed="12"/>
      <name val="Geneva"/>
      <family val="2"/>
    </font>
    <font>
      <b/>
      <sz val="10"/>
      <name val="Verdana"/>
      <family val="2"/>
    </font>
    <font>
      <sz val="14"/>
      <color indexed="8"/>
      <name val="Geneva CE"/>
      <family val="2"/>
    </font>
    <font>
      <u val="single"/>
      <sz val="14"/>
      <name val="Geneva CE"/>
      <family val="2"/>
    </font>
    <font>
      <sz val="14"/>
      <color indexed="9"/>
      <name val="Geneva CE"/>
      <family val="2"/>
    </font>
    <font>
      <b/>
      <u val="single"/>
      <sz val="14"/>
      <name val="Geneva CE"/>
      <family val="2"/>
    </font>
    <font>
      <u val="single"/>
      <sz val="12"/>
      <color indexed="12"/>
      <name val="Verdana"/>
      <family val="2"/>
    </font>
    <font>
      <b/>
      <sz val="14"/>
      <name val="Geneva"/>
      <family val="2"/>
    </font>
    <font>
      <sz val="14"/>
      <name val="Geneva"/>
      <family val="2"/>
    </font>
    <font>
      <u val="single"/>
      <sz val="14"/>
      <name val="Geneva"/>
      <family val="2"/>
    </font>
    <font>
      <sz val="12"/>
      <name val="Arial"/>
      <family val="2"/>
    </font>
    <font>
      <b/>
      <sz val="14"/>
      <color indexed="9"/>
      <name val="Genev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Verdan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4" fillId="33" borderId="0" xfId="0" applyNumberFormat="1" applyFont="1" applyFill="1" applyAlignment="1" applyProtection="1">
      <alignment horizontal="center"/>
      <protection locked="0"/>
    </xf>
    <xf numFmtId="0" fontId="6" fillId="0" borderId="0" xfId="53" applyNumberFormat="1" applyFont="1" applyFill="1" applyBorder="1" applyAlignment="1" applyProtection="1">
      <alignment/>
      <protection/>
    </xf>
    <xf numFmtId="0" fontId="2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2" fontId="4" fillId="33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4" fillId="33" borderId="0" xfId="0" applyFont="1" applyFill="1" applyAlignment="1" applyProtection="1">
      <alignment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/>
    </xf>
    <xf numFmtId="2" fontId="10" fillId="34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10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165" fontId="10" fillId="34" borderId="0" xfId="0" applyNumberFormat="1" applyFont="1" applyFill="1" applyAlignment="1">
      <alignment horizontal="center"/>
    </xf>
    <xf numFmtId="0" fontId="12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2" fontId="10" fillId="34" borderId="0" xfId="0" applyNumberFormat="1" applyFont="1" applyFill="1" applyAlignment="1">
      <alignment horizontal="center"/>
    </xf>
    <xf numFmtId="1" fontId="10" fillId="34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9" fontId="10" fillId="34" borderId="0" xfId="0" applyNumberFormat="1" applyFont="1" applyFill="1" applyAlignment="1">
      <alignment horizontal="center"/>
    </xf>
    <xf numFmtId="2" fontId="10" fillId="34" borderId="0" xfId="0" applyNumberFormat="1" applyFont="1" applyFill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2" fontId="4" fillId="33" borderId="0" xfId="0" applyNumberFormat="1" applyFont="1" applyFill="1" applyAlignment="1" applyProtection="1">
      <alignment horizontal="center"/>
      <protection locked="0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165" fontId="10" fillId="34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2" fontId="17" fillId="34" borderId="0" xfId="0" applyNumberFormat="1" applyFont="1" applyFill="1" applyAlignment="1">
      <alignment/>
    </xf>
    <xf numFmtId="1" fontId="17" fillId="34" borderId="0" xfId="0" applyNumberFormat="1" applyFont="1" applyFill="1" applyAlignment="1">
      <alignment/>
    </xf>
    <xf numFmtId="165" fontId="17" fillId="34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2" fontId="17" fillId="34" borderId="0" xfId="0" applyNumberFormat="1" applyFont="1" applyFill="1" applyAlignment="1">
      <alignment horizontal="center"/>
    </xf>
    <xf numFmtId="1" fontId="17" fillId="34" borderId="0" xfId="0" applyNumberFormat="1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4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15</xdr:row>
      <xdr:rowOff>9525</xdr:rowOff>
    </xdr:from>
    <xdr:to>
      <xdr:col>13</xdr:col>
      <xdr:colOff>9525</xdr:colOff>
      <xdr:row>21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3438525"/>
          <a:ext cx="509587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19050</xdr:rowOff>
    </xdr:from>
    <xdr:to>
      <xdr:col>13</xdr:col>
      <xdr:colOff>171450</xdr:colOff>
      <xdr:row>21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448050"/>
          <a:ext cx="50101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cprop.com/product-category/electric-motors/" TargetMode="External" /><Relationship Id="rId2" Type="http://schemas.openxmlformats.org/officeDocument/2006/relationships/hyperlink" Target="https://innov8tivedesigns.com/products/brushlessmotors/cobraairplanemotors.html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cprop.com/shop/" TargetMode="External" /><Relationship Id="rId2" Type="http://schemas.openxmlformats.org/officeDocument/2006/relationships/hyperlink" Target="https://innov8tivedesigns.com/parts/brushless-motors?cat=51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95" zoomScaleNormal="95" zoomScalePageLayoutView="0" workbookViewId="0" topLeftCell="A1">
      <selection activeCell="D8" sqref="D8"/>
    </sheetView>
  </sheetViews>
  <sheetFormatPr defaultColWidth="10.75390625" defaultRowHeight="12.75"/>
  <cols>
    <col min="1" max="1" width="36.75390625" style="1" customWidth="1"/>
    <col min="2" max="2" width="15.125" style="1" customWidth="1"/>
    <col min="3" max="3" width="9.125" style="1" customWidth="1"/>
    <col min="4" max="5" width="10.75390625" style="1" customWidth="1"/>
    <col min="6" max="6" width="7.00390625" style="1" customWidth="1"/>
    <col min="7" max="7" width="8.00390625" style="1" customWidth="1"/>
    <col min="8" max="8" width="8.50390625" style="1" customWidth="1"/>
    <col min="9" max="9" width="8.50390625" style="1" bestFit="1" customWidth="1"/>
    <col min="10" max="11" width="7.875" style="1" customWidth="1"/>
    <col min="12" max="12" width="9.375" style="1" customWidth="1"/>
    <col min="13" max="13" width="9.625" style="1" customWidth="1"/>
    <col min="14" max="14" width="8.00390625" style="1" customWidth="1"/>
    <col min="15" max="16" width="7.00390625" style="1" customWidth="1"/>
    <col min="17" max="16384" width="10.75390625" style="1" customWidth="1"/>
  </cols>
  <sheetData>
    <row r="1" spans="1:2" ht="18">
      <c r="A1" s="2"/>
      <c r="B1" s="2" t="s">
        <v>0</v>
      </c>
    </row>
    <row r="2" spans="1:3" ht="18">
      <c r="A2" s="3" t="s">
        <v>1</v>
      </c>
      <c r="B2" s="4">
        <v>42609</v>
      </c>
      <c r="C2" s="2" t="s">
        <v>2</v>
      </c>
    </row>
    <row r="3" spans="1:13" ht="18">
      <c r="A3" s="2" t="s">
        <v>3</v>
      </c>
      <c r="C3" s="2" t="s">
        <v>4</v>
      </c>
      <c r="L3"/>
      <c r="M3"/>
    </row>
    <row r="4" spans="3:5" ht="18">
      <c r="C4" s="2"/>
      <c r="E4" s="5"/>
    </row>
    <row r="5" spans="1:13" ht="18">
      <c r="A5" s="6" t="s">
        <v>5</v>
      </c>
      <c r="B5" s="57" t="s">
        <v>144</v>
      </c>
      <c r="C5" s="57"/>
      <c r="K5" s="7" t="s">
        <v>7</v>
      </c>
      <c r="L5" s="8" t="s">
        <v>8</v>
      </c>
      <c r="M5" s="8" t="s">
        <v>8</v>
      </c>
    </row>
    <row r="6" spans="1:13" ht="18">
      <c r="A6" s="9" t="s">
        <v>9</v>
      </c>
      <c r="B6" s="10">
        <v>0.4</v>
      </c>
      <c r="C6" s="11" t="s">
        <v>10</v>
      </c>
      <c r="K6" s="12" t="s">
        <v>11</v>
      </c>
      <c r="L6" s="8" t="s">
        <v>12</v>
      </c>
      <c r="M6" s="8" t="s">
        <v>13</v>
      </c>
    </row>
    <row r="7" spans="1:13" ht="18">
      <c r="A7" s="9" t="s">
        <v>14</v>
      </c>
      <c r="B7" s="10">
        <v>0</v>
      </c>
      <c r="C7" s="11" t="s">
        <v>10</v>
      </c>
      <c r="K7" s="7" t="s">
        <v>15</v>
      </c>
      <c r="L7" s="8" t="s">
        <v>16</v>
      </c>
      <c r="M7" s="8" t="s">
        <v>17</v>
      </c>
    </row>
    <row r="8" spans="1:13" ht="18">
      <c r="A8" s="13" t="s">
        <v>18</v>
      </c>
      <c r="B8" s="10">
        <v>4.08</v>
      </c>
      <c r="C8" s="11" t="s">
        <v>19</v>
      </c>
      <c r="D8" s="1" t="s">
        <v>149</v>
      </c>
      <c r="K8" s="12" t="s">
        <v>20</v>
      </c>
      <c r="L8" s="14">
        <v>17.248156139141603</v>
      </c>
      <c r="M8" s="14">
        <v>15.086538946867016</v>
      </c>
    </row>
    <row r="9" spans="1:13" ht="18">
      <c r="A9" s="13" t="s">
        <v>21</v>
      </c>
      <c r="B9" s="15">
        <v>545</v>
      </c>
      <c r="C9" s="11" t="s">
        <v>22</v>
      </c>
      <c r="K9" s="7" t="s">
        <v>23</v>
      </c>
      <c r="L9" s="16">
        <v>37.43027053605423</v>
      </c>
      <c r="M9" s="16">
        <v>34.125834522308665</v>
      </c>
    </row>
    <row r="10" spans="1:13" ht="18">
      <c r="A10" s="13" t="s">
        <v>24</v>
      </c>
      <c r="B10" s="15">
        <v>100</v>
      </c>
      <c r="C10" s="17" t="s">
        <v>25</v>
      </c>
      <c r="K10" s="12" t="s">
        <v>26</v>
      </c>
      <c r="L10" s="14">
        <v>46.38590815087574</v>
      </c>
      <c r="M10" s="14">
        <v>42.404896915126145</v>
      </c>
    </row>
    <row r="11" spans="1:13" ht="18">
      <c r="A11" s="13" t="s">
        <v>27</v>
      </c>
      <c r="B11" s="18">
        <f>(B9/144)^1.5</f>
        <v>7.362935826170337</v>
      </c>
      <c r="C11" s="19"/>
      <c r="K11" s="7" t="s">
        <v>28</v>
      </c>
      <c r="L11" s="16">
        <v>67.44897118482045</v>
      </c>
      <c r="M11" s="16">
        <v>62.85165431096839</v>
      </c>
    </row>
    <row r="12" spans="1:13" ht="18">
      <c r="A12" s="3" t="s">
        <v>29</v>
      </c>
      <c r="B12" s="18">
        <f>(B8*16)/B11</f>
        <v>8.866028652317333</v>
      </c>
      <c r="K12" s="12" t="s">
        <v>30</v>
      </c>
      <c r="L12" s="14">
        <v>83.46793928550939</v>
      </c>
      <c r="M12" s="14">
        <v>76.8967349270696</v>
      </c>
    </row>
    <row r="13" spans="1:13" ht="18">
      <c r="A13" s="13" t="s">
        <v>31</v>
      </c>
      <c r="B13" s="18">
        <f>IF(B12&lt;3,L8,IF(B12&lt;5,L9,IF(B12&lt;7,L10,IF(B12&lt;9.999,L11,IF(B12&lt;13,L12,L13)))))</f>
        <v>67.44897118482045</v>
      </c>
      <c r="C13" s="1" t="s">
        <v>32</v>
      </c>
      <c r="K13" s="7" t="s">
        <v>33</v>
      </c>
      <c r="L13" s="16">
        <v>129.11631745957257</v>
      </c>
      <c r="M13" s="16">
        <v>107.20630527510329</v>
      </c>
    </row>
    <row r="14" spans="1:13" ht="18">
      <c r="A14" s="13" t="s">
        <v>34</v>
      </c>
      <c r="B14" s="18">
        <f>IF(B12&lt;3,M8,IF(B12&lt;5,M9,IF(B12&lt;7,M10,IF(B12&lt;9.999,M11,IF(B12&lt;13,M12,M13)))))</f>
        <v>62.85165431096839</v>
      </c>
      <c r="C14" s="1" t="s">
        <v>32</v>
      </c>
      <c r="K14" s="12" t="s">
        <v>35</v>
      </c>
      <c r="L14" s="20" t="s">
        <v>36</v>
      </c>
      <c r="M14" s="20" t="s">
        <v>36</v>
      </c>
    </row>
    <row r="15" spans="1:3" ht="18">
      <c r="A15" s="3" t="s">
        <v>37</v>
      </c>
      <c r="B15" s="21">
        <f>IF(B7=0,AVERAGE(B6*1500,B8*B10,B13*B11,B14*B11),AVERAGE(B6*1500,B7*1000,B8*B10,B13*B11,B14*B11))</f>
        <v>491.84878590883693</v>
      </c>
      <c r="C15" s="22" t="s">
        <v>38</v>
      </c>
    </row>
    <row r="16" spans="1:3" ht="18">
      <c r="A16" s="13" t="s">
        <v>39</v>
      </c>
      <c r="B16" s="21">
        <f>B15/3</f>
        <v>163.94959530294565</v>
      </c>
      <c r="C16" s="1" t="s">
        <v>40</v>
      </c>
    </row>
    <row r="17" spans="1:3" ht="18">
      <c r="A17" s="13" t="s">
        <v>41</v>
      </c>
      <c r="B17" s="21">
        <f>B15/2</f>
        <v>245.92439295441847</v>
      </c>
      <c r="C17" s="1" t="s">
        <v>40</v>
      </c>
    </row>
    <row r="18" spans="1:3" ht="18">
      <c r="A18" s="13" t="s">
        <v>42</v>
      </c>
      <c r="B18" s="21">
        <f>B15*0.8</f>
        <v>393.4790287270696</v>
      </c>
      <c r="C18" s="1" t="s">
        <v>43</v>
      </c>
    </row>
    <row r="19" spans="1:3" ht="18">
      <c r="A19" s="13" t="s">
        <v>44</v>
      </c>
      <c r="B19" s="15">
        <v>10</v>
      </c>
      <c r="C19" s="1" t="s">
        <v>45</v>
      </c>
    </row>
    <row r="20" spans="1:3" ht="18">
      <c r="A20" s="13" t="s">
        <v>46</v>
      </c>
      <c r="B20" s="15">
        <v>6</v>
      </c>
      <c r="C20" s="1" t="s">
        <v>45</v>
      </c>
    </row>
    <row r="21" spans="1:2" ht="18">
      <c r="A21" s="13" t="s">
        <v>47</v>
      </c>
      <c r="B21" s="21">
        <f>(B18/((B19/12)^4*(B20/12)*1.11))^(1/3)*1000</f>
        <v>11370.630072166728</v>
      </c>
    </row>
    <row r="22" spans="1:3" ht="18">
      <c r="A22" s="13" t="s">
        <v>48</v>
      </c>
      <c r="B22" s="18">
        <f>(B21*B20)/1056</f>
        <v>64.6058526827655</v>
      </c>
      <c r="C22" s="1" t="s">
        <v>49</v>
      </c>
    </row>
    <row r="23" spans="1:3" ht="18">
      <c r="A23" s="13" t="s">
        <v>50</v>
      </c>
      <c r="B23" s="18">
        <f>SQRT((B8*16)/(B9/144))*3.7</f>
        <v>15.36649404003948</v>
      </c>
      <c r="C23" s="1" t="s">
        <v>51</v>
      </c>
    </row>
    <row r="24" spans="1:3" ht="18">
      <c r="A24" s="13" t="s">
        <v>52</v>
      </c>
      <c r="B24" s="18">
        <f>B22/B23</f>
        <v>4.204332654828499</v>
      </c>
      <c r="C24" s="1" t="s">
        <v>53</v>
      </c>
    </row>
    <row r="25" spans="1:13" ht="18">
      <c r="A25"/>
      <c r="B25"/>
      <c r="C25"/>
      <c r="E25"/>
      <c r="G25"/>
      <c r="I25"/>
      <c r="K25"/>
      <c r="M25"/>
    </row>
    <row r="26" spans="1:2" ht="18">
      <c r="A26" s="3" t="s">
        <v>54</v>
      </c>
      <c r="B26" s="2" t="s">
        <v>55</v>
      </c>
    </row>
    <row r="27" spans="2:14" ht="18">
      <c r="B27" s="2" t="s">
        <v>56</v>
      </c>
      <c r="I27"/>
      <c r="J27"/>
      <c r="K27"/>
      <c r="L27"/>
      <c r="M27"/>
      <c r="N27"/>
    </row>
    <row r="28" spans="1:14" ht="18">
      <c r="A28" s="23" t="s">
        <v>57</v>
      </c>
      <c r="B28" s="2" t="s">
        <v>58</v>
      </c>
      <c r="I28"/>
      <c r="J28"/>
      <c r="K28"/>
      <c r="L28"/>
      <c r="M28"/>
      <c r="N28"/>
    </row>
    <row r="29" spans="1:14" ht="18">
      <c r="A29" s="24">
        <f>ROUND(($B$19*0.5)/5,1)*5</f>
        <v>5</v>
      </c>
      <c r="B29" s="24">
        <f>ROUND(($B$19*0.7)/5,1)*5</f>
        <v>7</v>
      </c>
      <c r="D29" s="1" t="s">
        <v>59</v>
      </c>
      <c r="I29"/>
      <c r="J29"/>
      <c r="K29"/>
      <c r="L29"/>
      <c r="M29"/>
      <c r="N29"/>
    </row>
    <row r="30" spans="1:14" ht="18">
      <c r="A30" s="24">
        <f>ROUND(($B$19*0.55)/5,1)*5</f>
        <v>5.5</v>
      </c>
      <c r="B30" s="24">
        <f>ROUND(($B$19*0.75)/5,1)*5</f>
        <v>7.5</v>
      </c>
      <c r="D30" s="5" t="s">
        <v>60</v>
      </c>
      <c r="E30" s="25"/>
      <c r="F30" s="25"/>
      <c r="G30" s="25"/>
      <c r="H30" s="25"/>
      <c r="I30"/>
      <c r="J30"/>
      <c r="K30"/>
      <c r="L30"/>
      <c r="M30"/>
      <c r="N30"/>
    </row>
    <row r="31" spans="1:14" ht="18">
      <c r="A31" s="24">
        <f>ROUND(($B$19*0.6)/5,1)*5</f>
        <v>6</v>
      </c>
      <c r="B31" s="24">
        <f>ROUND(($B$19*0.8)/5,1)*5</f>
        <v>8</v>
      </c>
      <c r="D31" s="2" t="s">
        <v>61</v>
      </c>
      <c r="I31"/>
      <c r="J31"/>
      <c r="K31"/>
      <c r="L31"/>
      <c r="M31"/>
      <c r="N31"/>
    </row>
    <row r="33" spans="1:13" ht="18">
      <c r="A33" s="26" t="s">
        <v>62</v>
      </c>
      <c r="B33" s="27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8">
      <c r="A34" s="26"/>
      <c r="B34" s="24" t="s">
        <v>63</v>
      </c>
      <c r="C34" s="26"/>
      <c r="D34" s="27"/>
      <c r="E34" s="26" t="s">
        <v>64</v>
      </c>
      <c r="F34" s="27"/>
      <c r="G34" s="27"/>
      <c r="H34" s="27"/>
      <c r="I34" s="27"/>
      <c r="J34" s="27"/>
      <c r="K34" s="27"/>
      <c r="L34" s="27"/>
      <c r="M34" s="27"/>
    </row>
    <row r="35" spans="1:13" ht="18">
      <c r="A35" s="28" t="s">
        <v>65</v>
      </c>
      <c r="B35" s="29">
        <f>B8</f>
        <v>4.08</v>
      </c>
      <c r="C35" s="26"/>
      <c r="D35" s="28" t="s">
        <v>66</v>
      </c>
      <c r="E35" s="30">
        <f>B15</f>
        <v>491.84878590883693</v>
      </c>
      <c r="F35" s="31" t="s">
        <v>67</v>
      </c>
      <c r="G35" s="26"/>
      <c r="H35" s="27"/>
      <c r="I35" s="27"/>
      <c r="J35" s="27"/>
      <c r="K35" s="27"/>
      <c r="L35" s="27"/>
      <c r="M35" s="27"/>
    </row>
    <row r="36" spans="1:13" ht="18">
      <c r="A36" s="32" t="s">
        <v>68</v>
      </c>
      <c r="B36" s="30">
        <f>B10</f>
        <v>100</v>
      </c>
      <c r="C36" s="26"/>
      <c r="D36" s="28" t="s">
        <v>69</v>
      </c>
      <c r="E36" s="33">
        <f>B38/B37</f>
        <v>0.6</v>
      </c>
      <c r="F36"/>
      <c r="G36" s="34">
        <f>B37/B38</f>
        <v>1.6666666666666667</v>
      </c>
      <c r="H36" s="35" t="s">
        <v>70</v>
      </c>
      <c r="I36" s="27"/>
      <c r="J36" s="27"/>
      <c r="K36" s="27"/>
      <c r="L36" s="26" t="s">
        <v>71</v>
      </c>
      <c r="M36" s="27"/>
    </row>
    <row r="37" spans="1:13" ht="18">
      <c r="A37" s="28" t="s">
        <v>72</v>
      </c>
      <c r="B37" s="30">
        <f>B19</f>
        <v>10</v>
      </c>
      <c r="C37" s="26"/>
      <c r="D37" s="28" t="s">
        <v>73</v>
      </c>
      <c r="E37" s="30">
        <f>B16</f>
        <v>163.94959530294565</v>
      </c>
      <c r="F37" s="36" t="s">
        <v>74</v>
      </c>
      <c r="G37" s="30">
        <f>B17</f>
        <v>245.92439295441847</v>
      </c>
      <c r="H37" s="27" t="s">
        <v>75</v>
      </c>
      <c r="I37" s="27"/>
      <c r="J37" s="27"/>
      <c r="K37" s="27"/>
      <c r="L37" s="26"/>
      <c r="M37" s="37" t="s">
        <v>76</v>
      </c>
    </row>
    <row r="38" spans="1:13" ht="18">
      <c r="A38" s="28" t="s">
        <v>77</v>
      </c>
      <c r="B38" s="24">
        <f>B20</f>
        <v>6</v>
      </c>
      <c r="C38" s="26"/>
      <c r="D38" s="27"/>
      <c r="E38" s="27"/>
      <c r="F38" s="27"/>
      <c r="G38" s="27"/>
      <c r="H38" s="27"/>
      <c r="I38" s="27"/>
      <c r="J38" s="36"/>
      <c r="K38" s="38"/>
      <c r="L38" s="37" t="s">
        <v>78</v>
      </c>
      <c r="M38" s="37" t="s">
        <v>79</v>
      </c>
    </row>
    <row r="39" spans="1:13" ht="18">
      <c r="A39" s="28" t="s">
        <v>80</v>
      </c>
      <c r="B39" s="39">
        <v>6</v>
      </c>
      <c r="C39" s="26" t="s">
        <v>81</v>
      </c>
      <c r="D39" s="27" t="s">
        <v>82</v>
      </c>
      <c r="E39" s="27"/>
      <c r="F39" s="27"/>
      <c r="G39" s="27"/>
      <c r="H39" s="27"/>
      <c r="I39" s="27"/>
      <c r="J39" s="36"/>
      <c r="K39" s="36"/>
      <c r="L39" s="36" t="s">
        <v>83</v>
      </c>
      <c r="M39" s="36">
        <v>15</v>
      </c>
    </row>
    <row r="40" spans="1:13" ht="18">
      <c r="A40" s="2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7" t="s">
        <v>84</v>
      </c>
      <c r="M40" s="37">
        <v>17.5</v>
      </c>
    </row>
    <row r="41" spans="1:13" ht="18">
      <c r="A41" s="28"/>
      <c r="B41" s="27" t="s">
        <v>85</v>
      </c>
      <c r="C41" s="27"/>
      <c r="D41" s="27"/>
      <c r="E41" s="27"/>
      <c r="F41" s="27"/>
      <c r="G41" s="27"/>
      <c r="H41" s="27"/>
      <c r="I41" s="27"/>
      <c r="J41" s="27"/>
      <c r="K41" s="27"/>
      <c r="L41" s="36" t="s">
        <v>86</v>
      </c>
      <c r="M41" s="36">
        <v>22.5</v>
      </c>
    </row>
    <row r="42" spans="1:13" ht="18">
      <c r="A42"/>
      <c r="B42" s="5" t="s">
        <v>87</v>
      </c>
      <c r="C42"/>
      <c r="D42" s="27"/>
      <c r="E42" s="27"/>
      <c r="F42" s="27"/>
      <c r="G42" s="27"/>
      <c r="H42" s="27"/>
      <c r="I42" s="27"/>
      <c r="J42" s="27"/>
      <c r="K42" s="27"/>
      <c r="L42" s="37" t="s">
        <v>88</v>
      </c>
      <c r="M42" s="37">
        <v>47</v>
      </c>
    </row>
    <row r="43" spans="1:13" ht="18">
      <c r="A43"/>
      <c r="B43" s="27"/>
      <c r="C43"/>
      <c r="D43" s="27"/>
      <c r="E43" s="27"/>
      <c r="F43" s="27"/>
      <c r="G43" s="27"/>
      <c r="H43" s="27"/>
      <c r="I43" s="27"/>
      <c r="J43" s="27"/>
      <c r="K43" s="27"/>
      <c r="L43" s="36" t="s">
        <v>89</v>
      </c>
      <c r="M43" s="36">
        <v>61</v>
      </c>
    </row>
    <row r="44" spans="1:13" ht="18">
      <c r="A44" s="26" t="s">
        <v>90</v>
      </c>
      <c r="B44" s="27"/>
      <c r="C44" s="27"/>
      <c r="D44" s="27"/>
      <c r="E44" s="37" t="s">
        <v>91</v>
      </c>
      <c r="F44" s="37" t="s">
        <v>92</v>
      </c>
      <c r="G44" s="37" t="s">
        <v>93</v>
      </c>
      <c r="H44" s="37" t="s">
        <v>94</v>
      </c>
      <c r="I44" s="37" t="s">
        <v>95</v>
      </c>
      <c r="J44" s="27"/>
      <c r="K44" s="36"/>
      <c r="L44" s="37" t="s">
        <v>96</v>
      </c>
      <c r="M44" s="37">
        <v>74</v>
      </c>
    </row>
    <row r="45" spans="1:13" ht="18">
      <c r="A45" s="26" t="s">
        <v>92</v>
      </c>
      <c r="B45" s="37" t="s">
        <v>97</v>
      </c>
      <c r="C45" s="37" t="s">
        <v>98</v>
      </c>
      <c r="D45" s="37" t="s">
        <v>99</v>
      </c>
      <c r="E45" s="37" t="s">
        <v>100</v>
      </c>
      <c r="F45" s="37" t="s">
        <v>101</v>
      </c>
      <c r="G45" s="37" t="s">
        <v>91</v>
      </c>
      <c r="H45" s="37" t="s">
        <v>102</v>
      </c>
      <c r="I45" s="37" t="s">
        <v>103</v>
      </c>
      <c r="J45" s="36" t="s">
        <v>94</v>
      </c>
      <c r="K45" s="36"/>
      <c r="L45" s="36" t="s">
        <v>104</v>
      </c>
      <c r="M45" s="36">
        <v>80.5</v>
      </c>
    </row>
    <row r="46" spans="1:13" ht="18">
      <c r="A46" s="40" t="s">
        <v>145</v>
      </c>
      <c r="B46" s="39">
        <v>216</v>
      </c>
      <c r="C46" s="39">
        <v>980</v>
      </c>
      <c r="D46" s="41">
        <v>1.84</v>
      </c>
      <c r="E46" s="39">
        <v>14.8</v>
      </c>
      <c r="F46" s="39">
        <v>36.27</v>
      </c>
      <c r="G46" s="39">
        <v>536.9</v>
      </c>
      <c r="H46" s="39">
        <v>11327</v>
      </c>
      <c r="I46" s="39">
        <v>64.4</v>
      </c>
      <c r="J46" s="27" t="s">
        <v>147</v>
      </c>
      <c r="K46" s="42"/>
      <c r="L46" s="37" t="s">
        <v>105</v>
      </c>
      <c r="M46" s="37">
        <v>88</v>
      </c>
    </row>
    <row r="47" spans="1:13" ht="18">
      <c r="A47" s="40" t="s">
        <v>145</v>
      </c>
      <c r="B47" s="39">
        <v>216</v>
      </c>
      <c r="C47" s="39">
        <v>980</v>
      </c>
      <c r="D47" s="41">
        <v>1.84</v>
      </c>
      <c r="E47" s="39">
        <v>14.8</v>
      </c>
      <c r="F47" s="39">
        <v>42.56</v>
      </c>
      <c r="G47" s="39">
        <v>629.9</v>
      </c>
      <c r="H47" s="39">
        <v>11047</v>
      </c>
      <c r="I47" s="39">
        <v>73.2</v>
      </c>
      <c r="J47" s="27" t="s">
        <v>146</v>
      </c>
      <c r="K47" s="42"/>
      <c r="L47" s="36" t="s">
        <v>106</v>
      </c>
      <c r="M47" s="36">
        <v>109</v>
      </c>
    </row>
    <row r="48" spans="1:13" ht="18">
      <c r="A48" s="40" t="s">
        <v>145</v>
      </c>
      <c r="B48" s="39">
        <v>216</v>
      </c>
      <c r="C48" s="39">
        <v>980</v>
      </c>
      <c r="D48" s="41">
        <v>1.84</v>
      </c>
      <c r="E48" s="39">
        <v>14.8</v>
      </c>
      <c r="F48" s="39">
        <v>33</v>
      </c>
      <c r="G48" s="39">
        <v>488.4</v>
      </c>
      <c r="H48" s="39">
        <v>11678</v>
      </c>
      <c r="I48" s="39">
        <v>55.3</v>
      </c>
      <c r="J48" s="27" t="s">
        <v>148</v>
      </c>
      <c r="K48" s="42"/>
      <c r="L48" s="37" t="s">
        <v>107</v>
      </c>
      <c r="M48" s="37">
        <v>142</v>
      </c>
    </row>
    <row r="49" spans="1:13" ht="18">
      <c r="A49" s="40"/>
      <c r="B49" s="39"/>
      <c r="C49" s="39"/>
      <c r="D49" s="41"/>
      <c r="E49" s="39"/>
      <c r="F49" s="39"/>
      <c r="G49" s="39"/>
      <c r="H49" s="39"/>
      <c r="I49" s="39"/>
      <c r="J49" s="27"/>
      <c r="K49" s="43"/>
      <c r="L49" s="36" t="s">
        <v>108</v>
      </c>
      <c r="M49" s="36">
        <v>141</v>
      </c>
    </row>
    <row r="50" spans="1:13" ht="18">
      <c r="A50" s="40"/>
      <c r="B50" s="39"/>
      <c r="C50" s="39"/>
      <c r="D50" s="41"/>
      <c r="E50" s="39"/>
      <c r="F50" s="39"/>
      <c r="G50" s="39"/>
      <c r="H50" s="39"/>
      <c r="I50" s="39"/>
      <c r="J50" s="27"/>
      <c r="K50" s="27"/>
      <c r="L50" s="44" t="s">
        <v>109</v>
      </c>
      <c r="M50" s="44">
        <v>171</v>
      </c>
    </row>
    <row r="51" spans="1:13" ht="18">
      <c r="A51" s="40"/>
      <c r="B51" s="39"/>
      <c r="C51" s="39"/>
      <c r="D51" s="41"/>
      <c r="E51" s="39"/>
      <c r="F51" s="39"/>
      <c r="G51" s="39"/>
      <c r="H51" s="39"/>
      <c r="I51" s="39"/>
      <c r="J51" s="27"/>
      <c r="K51" s="27"/>
      <c r="L51" s="36" t="s">
        <v>110</v>
      </c>
      <c r="M51" s="36">
        <v>178</v>
      </c>
    </row>
    <row r="52" spans="1:13" ht="18">
      <c r="A52" s="40"/>
      <c r="B52" s="39"/>
      <c r="C52" s="39"/>
      <c r="D52" s="41"/>
      <c r="E52" s="39"/>
      <c r="F52" s="39"/>
      <c r="G52" s="39"/>
      <c r="H52" s="39"/>
      <c r="I52" s="39"/>
      <c r="J52" s="27"/>
      <c r="K52" s="27"/>
      <c r="L52" s="37" t="s">
        <v>111</v>
      </c>
      <c r="M52" s="37">
        <v>216</v>
      </c>
    </row>
    <row r="53" spans="1:13" ht="18">
      <c r="A53" s="40"/>
      <c r="B53" s="39"/>
      <c r="C53" s="39"/>
      <c r="D53" s="41"/>
      <c r="E53" s="39"/>
      <c r="F53" s="39"/>
      <c r="G53" s="39"/>
      <c r="H53" s="39"/>
      <c r="I53" s="39"/>
      <c r="J53" s="27"/>
      <c r="K53" s="27"/>
      <c r="L53" s="36" t="s">
        <v>112</v>
      </c>
      <c r="M53" s="36">
        <v>255</v>
      </c>
    </row>
    <row r="54" spans="1:13" ht="18">
      <c r="A54" s="45"/>
      <c r="B54" s="45"/>
      <c r="C54" s="45"/>
      <c r="D54" s="45"/>
      <c r="E54" s="45"/>
      <c r="F54" s="45"/>
      <c r="G54" s="45"/>
      <c r="H54" s="45"/>
      <c r="I54" s="45"/>
      <c r="J54" s="27"/>
      <c r="K54" s="27"/>
      <c r="L54" s="37" t="s">
        <v>113</v>
      </c>
      <c r="M54" s="37">
        <v>295</v>
      </c>
    </row>
    <row r="55" spans="1:13" ht="18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6" t="s">
        <v>114</v>
      </c>
      <c r="M55" s="36">
        <v>400</v>
      </c>
    </row>
    <row r="56" spans="1:13" ht="18">
      <c r="A56" s="26"/>
      <c r="B56" s="37" t="s">
        <v>93</v>
      </c>
      <c r="C56" s="37" t="s">
        <v>115</v>
      </c>
      <c r="D56" s="37" t="s">
        <v>116</v>
      </c>
      <c r="E56" s="37" t="s">
        <v>117</v>
      </c>
      <c r="F56" s="37" t="s">
        <v>118</v>
      </c>
      <c r="G56" s="37" t="s">
        <v>119</v>
      </c>
      <c r="H56" s="37" t="s">
        <v>120</v>
      </c>
      <c r="I56" s="36"/>
      <c r="J56" s="27"/>
      <c r="K56" s="27"/>
      <c r="L56"/>
      <c r="M56"/>
    </row>
    <row r="57" spans="1:13" ht="18">
      <c r="A57" s="26" t="s">
        <v>121</v>
      </c>
      <c r="B57" s="37" t="s">
        <v>122</v>
      </c>
      <c r="C57" s="37" t="s">
        <v>123</v>
      </c>
      <c r="D57" s="37" t="s">
        <v>123</v>
      </c>
      <c r="E57" s="37" t="s">
        <v>101</v>
      </c>
      <c r="F57" s="37" t="s">
        <v>124</v>
      </c>
      <c r="G57" s="37" t="s">
        <v>125</v>
      </c>
      <c r="H57" s="37" t="s">
        <v>126</v>
      </c>
      <c r="I57" s="36" t="s">
        <v>94</v>
      </c>
      <c r="J57" s="27"/>
      <c r="K57" s="27"/>
      <c r="L57"/>
      <c r="M57"/>
    </row>
    <row r="58" spans="1:13" ht="18">
      <c r="A58" s="46" t="str">
        <f aca="true" t="shared" si="0" ref="A58:A65">IF(A46=0," ",A46)</f>
        <v>Cobra C-3520/10</v>
      </c>
      <c r="B58" s="30">
        <f>(F46-D46)*(H46/C46)</f>
        <v>397.9475612244898</v>
      </c>
      <c r="C58" s="33">
        <f>B58/G46</f>
        <v>0.741194936160346</v>
      </c>
      <c r="D58" s="33">
        <f>H46/C46/E46</f>
        <v>0.7809569773855488</v>
      </c>
      <c r="E58" s="30">
        <f>F46*1.25</f>
        <v>45.337500000000006</v>
      </c>
      <c r="F58" s="30">
        <f>E46/3.7</f>
        <v>4</v>
      </c>
      <c r="G58" s="30">
        <f>IF(A46=0," ",ROUNDUP(F46/2*B39/60*1000*1.25,-2))</f>
        <v>2300</v>
      </c>
      <c r="H58" s="30">
        <f>(F46/(G58/1000))*1.25</f>
        <v>19.711956521739133</v>
      </c>
      <c r="I58" s="27" t="s">
        <v>147</v>
      </c>
      <c r="J58" s="27"/>
      <c r="K58" s="27"/>
      <c r="L58"/>
      <c r="M58"/>
    </row>
    <row r="59" spans="1:13" ht="18">
      <c r="A59" s="46" t="str">
        <f t="shared" si="0"/>
        <v>Cobra C-3520/10</v>
      </c>
      <c r="B59" s="30">
        <f aca="true" t="shared" si="1" ref="B59:B65">IF(A47=0," ",(F47-D47)*(H47/C47))</f>
        <v>459.01412244897955</v>
      </c>
      <c r="C59" s="33">
        <f aca="true" t="shared" si="2" ref="C59:C65">IF(A47=0," ",B59/G47)</f>
        <v>0.72870951333383</v>
      </c>
      <c r="D59" s="33">
        <f aca="true" t="shared" si="3" ref="D59:D65">IF(A47=0," ",H47/C47/E47)</f>
        <v>0.7616519580805294</v>
      </c>
      <c r="E59" s="30">
        <f aca="true" t="shared" si="4" ref="E59:E65">IF(A47=0," ",F47*1.25)</f>
        <v>53.2</v>
      </c>
      <c r="F59" s="30">
        <f aca="true" t="shared" si="5" ref="F59:F65">IF(A47=0," ",E47/3.7)</f>
        <v>4</v>
      </c>
      <c r="G59" s="30">
        <f>IF(A47=0," ",ROUNDUP(F47/2*B39/60*1000*1.25,-2))</f>
        <v>2700</v>
      </c>
      <c r="H59" s="30">
        <f aca="true" t="shared" si="6" ref="H59:H65">IF(A47=0," ",(F47/(G59/1000))*1.25)</f>
        <v>19.703703703703702</v>
      </c>
      <c r="I59" s="27" t="s">
        <v>146</v>
      </c>
      <c r="J59" s="27"/>
      <c r="K59" s="27"/>
      <c r="L59"/>
      <c r="M59"/>
    </row>
    <row r="60" spans="1:13" ht="18">
      <c r="A60" s="46" t="str">
        <f t="shared" si="0"/>
        <v>Cobra C-3520/10</v>
      </c>
      <c r="B60" s="30">
        <f t="shared" si="1"/>
        <v>371.3127346938776</v>
      </c>
      <c r="C60" s="33">
        <f t="shared" si="2"/>
        <v>0.760263584549299</v>
      </c>
      <c r="D60" s="33">
        <f t="shared" si="3"/>
        <v>0.8051571980143408</v>
      </c>
      <c r="E60" s="30">
        <f t="shared" si="4"/>
        <v>41.25</v>
      </c>
      <c r="F60" s="30">
        <f t="shared" si="5"/>
        <v>4</v>
      </c>
      <c r="G60" s="30">
        <f>IF(A48=0," ",ROUNDUP(F48/2*B39/60*1000*1.25,-2))</f>
        <v>2100</v>
      </c>
      <c r="H60" s="30">
        <f t="shared" si="6"/>
        <v>19.642857142857142</v>
      </c>
      <c r="I60" s="36"/>
      <c r="J60" s="27"/>
      <c r="K60" s="27"/>
      <c r="L60"/>
      <c r="M60"/>
    </row>
    <row r="61" spans="1:13" ht="18">
      <c r="A61" s="46" t="str">
        <f t="shared" si="0"/>
        <v> </v>
      </c>
      <c r="B61" s="30" t="str">
        <f t="shared" si="1"/>
        <v> </v>
      </c>
      <c r="C61" s="33" t="str">
        <f t="shared" si="2"/>
        <v> </v>
      </c>
      <c r="D61" s="33" t="str">
        <f t="shared" si="3"/>
        <v> </v>
      </c>
      <c r="E61" s="30" t="str">
        <f t="shared" si="4"/>
        <v> </v>
      </c>
      <c r="F61" s="30" t="str">
        <f t="shared" si="5"/>
        <v> </v>
      </c>
      <c r="G61" s="30" t="str">
        <f>IF(A49=0," ",ROUNDUP(F49/2*B39/60*1000*1.25,-2))</f>
        <v> </v>
      </c>
      <c r="H61" s="30" t="str">
        <f t="shared" si="6"/>
        <v> </v>
      </c>
      <c r="I61" s="36"/>
      <c r="J61" s="27"/>
      <c r="K61" s="27"/>
      <c r="L61"/>
      <c r="M61"/>
    </row>
    <row r="62" spans="1:13" ht="18">
      <c r="A62" s="46">
        <f>A50</f>
        <v>0</v>
      </c>
      <c r="B62" s="30" t="str">
        <f t="shared" si="1"/>
        <v> </v>
      </c>
      <c r="C62" s="33" t="str">
        <f t="shared" si="2"/>
        <v> </v>
      </c>
      <c r="D62" s="33" t="str">
        <f t="shared" si="3"/>
        <v> </v>
      </c>
      <c r="E62" s="30" t="str">
        <f t="shared" si="4"/>
        <v> </v>
      </c>
      <c r="F62" s="30" t="str">
        <f t="shared" si="5"/>
        <v> </v>
      </c>
      <c r="G62" s="30" t="str">
        <f>IF(A50=0," ",ROUNDUP(F50/2*B39/60*1000*1.25,-2))</f>
        <v> </v>
      </c>
      <c r="H62" s="30" t="str">
        <f t="shared" si="6"/>
        <v> </v>
      </c>
      <c r="I62" s="36"/>
      <c r="J62" s="27"/>
      <c r="K62" s="27"/>
      <c r="L62"/>
      <c r="M62"/>
    </row>
    <row r="63" spans="1:13" ht="18">
      <c r="A63" s="46" t="str">
        <f t="shared" si="0"/>
        <v> </v>
      </c>
      <c r="B63" s="30" t="str">
        <f t="shared" si="1"/>
        <v> </v>
      </c>
      <c r="C63" s="33" t="str">
        <f t="shared" si="2"/>
        <v> </v>
      </c>
      <c r="D63" s="33" t="str">
        <f t="shared" si="3"/>
        <v> </v>
      </c>
      <c r="E63" s="30" t="str">
        <f t="shared" si="4"/>
        <v> </v>
      </c>
      <c r="F63" s="30" t="str">
        <f t="shared" si="5"/>
        <v> </v>
      </c>
      <c r="G63" s="30" t="str">
        <f>IF(A51=0," ",ROUNDUP(F51/2*B39/60*1000*1.25,-2))</f>
        <v> </v>
      </c>
      <c r="H63" s="30" t="str">
        <f t="shared" si="6"/>
        <v> </v>
      </c>
      <c r="I63" s="36"/>
      <c r="J63" s="27"/>
      <c r="K63" s="27"/>
      <c r="L63"/>
      <c r="M63"/>
    </row>
    <row r="64" spans="1:13" ht="18">
      <c r="A64" s="46" t="str">
        <f t="shared" si="0"/>
        <v> </v>
      </c>
      <c r="B64" s="30" t="str">
        <f t="shared" si="1"/>
        <v> </v>
      </c>
      <c r="C64" s="33" t="str">
        <f t="shared" si="2"/>
        <v> </v>
      </c>
      <c r="D64" s="33" t="str">
        <f t="shared" si="3"/>
        <v> </v>
      </c>
      <c r="E64" s="30" t="str">
        <f t="shared" si="4"/>
        <v> </v>
      </c>
      <c r="F64" s="30" t="str">
        <f t="shared" si="5"/>
        <v> </v>
      </c>
      <c r="G64" s="30" t="str">
        <f>IF(A52=0," ",ROUNDUP(F52/2*B39/60*1000*1.25,-2))</f>
        <v> </v>
      </c>
      <c r="H64" s="30" t="str">
        <f t="shared" si="6"/>
        <v> </v>
      </c>
      <c r="I64" s="36"/>
      <c r="J64" s="27"/>
      <c r="K64" s="27"/>
      <c r="L64"/>
      <c r="M64"/>
    </row>
    <row r="65" spans="1:13" ht="18">
      <c r="A65" s="46" t="str">
        <f t="shared" si="0"/>
        <v> </v>
      </c>
      <c r="B65" s="30" t="str">
        <f t="shared" si="1"/>
        <v> </v>
      </c>
      <c r="C65" s="33" t="str">
        <f t="shared" si="2"/>
        <v> </v>
      </c>
      <c r="D65" s="33" t="str">
        <f t="shared" si="3"/>
        <v> </v>
      </c>
      <c r="E65" s="30" t="str">
        <f t="shared" si="4"/>
        <v> </v>
      </c>
      <c r="F65" s="30" t="str">
        <f t="shared" si="5"/>
        <v> </v>
      </c>
      <c r="G65" s="30" t="str">
        <f>IF(A53=0," ",ROUNDUP(F53/2*B39/60*1000*1.25,-2))</f>
        <v> </v>
      </c>
      <c r="H65" s="30" t="str">
        <f t="shared" si="6"/>
        <v> </v>
      </c>
      <c r="I65" s="36"/>
      <c r="J65" s="27"/>
      <c r="K65" s="27"/>
      <c r="L65"/>
      <c r="M65"/>
    </row>
    <row r="66" spans="1:13" ht="18">
      <c r="A66" s="45"/>
      <c r="B66" s="45"/>
      <c r="C66" s="45"/>
      <c r="D66" s="45"/>
      <c r="E66" s="45"/>
      <c r="F66" s="45"/>
      <c r="G66" s="45"/>
      <c r="H66" s="45"/>
      <c r="I66" s="36"/>
      <c r="J66" s="27"/>
      <c r="K66" s="27"/>
      <c r="L66"/>
      <c r="M66"/>
    </row>
    <row r="67" ht="18">
      <c r="A67" s="3"/>
    </row>
    <row r="68" ht="18">
      <c r="A68" s="3"/>
    </row>
    <row r="69" spans="2:12" ht="18">
      <c r="B69" s="13"/>
      <c r="L69" s="2"/>
    </row>
    <row r="70" ht="18">
      <c r="B70" s="13"/>
    </row>
    <row r="71" ht="18">
      <c r="B71" s="13"/>
    </row>
    <row r="72" ht="18">
      <c r="B72" s="13"/>
    </row>
    <row r="124" spans="1:16" ht="18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/>
      <c r="M124"/>
      <c r="N124" s="47"/>
      <c r="O124" s="47"/>
      <c r="P124" s="47"/>
    </row>
    <row r="125" spans="12:13" ht="18">
      <c r="L125"/>
      <c r="M125"/>
    </row>
    <row r="126" spans="1:13" ht="18">
      <c r="A126" s="13"/>
      <c r="L126"/>
      <c r="M126"/>
    </row>
    <row r="127" spans="1:13" ht="18">
      <c r="A127" s="13"/>
      <c r="L127"/>
      <c r="M127"/>
    </row>
    <row r="128" ht="18">
      <c r="A128" s="13"/>
    </row>
    <row r="129" ht="18">
      <c r="A129" s="13"/>
    </row>
  </sheetData>
  <sheetProtection/>
  <mergeCells count="1">
    <mergeCell ref="B5:C5"/>
  </mergeCells>
  <dataValidations count="1">
    <dataValidation allowBlank="1" showErrorMessage="1" sqref="A6:A7">
      <formula1>0</formula1>
      <formula2>0</formula2>
    </dataValidation>
  </dataValidations>
  <hyperlinks>
    <hyperlink ref="D30" r:id="rId1" display="https://www.apcprop.com/product-category/electric-motors/"/>
    <hyperlink ref="B42" r:id="rId2" display="https://innov8tivedesigns.com/products/brushlessmotors/cobraairplanemotors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="95" zoomScaleNormal="95" zoomScalePageLayoutView="0" workbookViewId="0" topLeftCell="A17">
      <selection activeCell="D31" sqref="D31"/>
    </sheetView>
  </sheetViews>
  <sheetFormatPr defaultColWidth="10.75390625" defaultRowHeight="12.75"/>
  <cols>
    <col min="1" max="1" width="35.25390625" style="1" customWidth="1"/>
    <col min="2" max="2" width="18.375" style="1" customWidth="1"/>
    <col min="3" max="3" width="9.125" style="1" customWidth="1"/>
    <col min="4" max="4" width="10.625" style="1" customWidth="1"/>
    <col min="5" max="5" width="10.75390625" style="1" customWidth="1"/>
    <col min="6" max="6" width="9.625" style="1" customWidth="1"/>
    <col min="7" max="7" width="9.75390625" style="1" customWidth="1"/>
    <col min="8" max="8" width="9.625" style="1" customWidth="1"/>
    <col min="9" max="9" width="9.50390625" style="1" customWidth="1"/>
    <col min="10" max="10" width="6.25390625" style="1" customWidth="1"/>
    <col min="11" max="11" width="5.625" style="1" customWidth="1"/>
    <col min="12" max="12" width="6.25390625" style="1" customWidth="1"/>
    <col min="13" max="13" width="7.00390625" style="1" customWidth="1"/>
    <col min="14" max="14" width="10.125" style="1" customWidth="1"/>
    <col min="15" max="15" width="10.375" style="1" customWidth="1"/>
    <col min="16" max="16" width="7.00390625" style="1" customWidth="1"/>
    <col min="17" max="16384" width="10.75390625" style="1" customWidth="1"/>
  </cols>
  <sheetData>
    <row r="1" spans="1:2" ht="18">
      <c r="A1" s="2"/>
      <c r="B1" s="2" t="s">
        <v>127</v>
      </c>
    </row>
    <row r="2" spans="1:3" ht="18">
      <c r="A2" s="3" t="s">
        <v>1</v>
      </c>
      <c r="B2" s="4">
        <v>41333</v>
      </c>
      <c r="C2" s="2" t="s">
        <v>2</v>
      </c>
    </row>
    <row r="3" spans="1:3" ht="18">
      <c r="A3" s="2" t="s">
        <v>3</v>
      </c>
      <c r="B3" s="2"/>
      <c r="C3" s="2" t="s">
        <v>4</v>
      </c>
    </row>
    <row r="4" spans="3:5" ht="18">
      <c r="C4" s="2"/>
      <c r="E4" s="5"/>
    </row>
    <row r="5" spans="1:13" ht="18">
      <c r="A5" s="6" t="s">
        <v>5</v>
      </c>
      <c r="B5" s="57" t="s">
        <v>6</v>
      </c>
      <c r="C5" s="57"/>
      <c r="K5" s="7" t="s">
        <v>7</v>
      </c>
      <c r="L5" s="8" t="s">
        <v>8</v>
      </c>
      <c r="M5" s="8" t="s">
        <v>8</v>
      </c>
    </row>
    <row r="6" spans="1:13" ht="18">
      <c r="A6" s="9" t="s">
        <v>9</v>
      </c>
      <c r="B6" s="10">
        <v>0</v>
      </c>
      <c r="C6" s="11" t="s">
        <v>10</v>
      </c>
      <c r="K6" s="12" t="s">
        <v>128</v>
      </c>
      <c r="L6" s="8" t="s">
        <v>13</v>
      </c>
      <c r="M6" s="8" t="s">
        <v>13</v>
      </c>
    </row>
    <row r="7" spans="1:13" ht="18">
      <c r="A7" s="9" t="s">
        <v>14</v>
      </c>
      <c r="B7" s="10">
        <v>0</v>
      </c>
      <c r="C7" s="11" t="s">
        <v>10</v>
      </c>
      <c r="K7" s="7" t="s">
        <v>15</v>
      </c>
      <c r="L7" s="8" t="s">
        <v>16</v>
      </c>
      <c r="M7" s="8" t="s">
        <v>17</v>
      </c>
    </row>
    <row r="8" spans="1:13" ht="18">
      <c r="A8" s="13" t="s">
        <v>18</v>
      </c>
      <c r="B8" s="10">
        <v>2.31</v>
      </c>
      <c r="C8" s="11" t="s">
        <v>19</v>
      </c>
      <c r="K8" s="12" t="s">
        <v>20</v>
      </c>
      <c r="L8" s="14">
        <v>17.1</v>
      </c>
      <c r="M8" s="20">
        <v>14.88</v>
      </c>
    </row>
    <row r="9" spans="1:13" ht="18">
      <c r="A9" s="13" t="s">
        <v>21</v>
      </c>
      <c r="B9" s="15">
        <v>597</v>
      </c>
      <c r="C9" s="11" t="s">
        <v>22</v>
      </c>
      <c r="K9" s="7" t="s">
        <v>23</v>
      </c>
      <c r="L9" s="8">
        <v>37.45</v>
      </c>
      <c r="M9" s="8">
        <v>34.13</v>
      </c>
    </row>
    <row r="10" spans="1:13" ht="18">
      <c r="A10" s="13" t="s">
        <v>24</v>
      </c>
      <c r="B10" s="15">
        <v>100</v>
      </c>
      <c r="C10" s="17" t="s">
        <v>25</v>
      </c>
      <c r="K10" s="12" t="s">
        <v>26</v>
      </c>
      <c r="L10" s="20">
        <v>46.84</v>
      </c>
      <c r="M10" s="20">
        <v>42.38</v>
      </c>
    </row>
    <row r="11" spans="1:13" ht="18">
      <c r="A11" s="13" t="s">
        <v>129</v>
      </c>
      <c r="B11" s="48">
        <f>B8+(B8*0.05)</f>
        <v>2.4255</v>
      </c>
      <c r="C11" s="17" t="s">
        <v>19</v>
      </c>
      <c r="E11"/>
      <c r="K11" s="7" t="s">
        <v>28</v>
      </c>
      <c r="L11" s="8">
        <v>67.53</v>
      </c>
      <c r="M11" s="8">
        <v>63.48</v>
      </c>
    </row>
    <row r="12" spans="1:13" ht="18">
      <c r="A12" s="13" t="s">
        <v>27</v>
      </c>
      <c r="B12" s="48">
        <f>(B9/144)^1.5</f>
        <v>8.441463725177957</v>
      </c>
      <c r="K12" s="12" t="s">
        <v>30</v>
      </c>
      <c r="L12" s="14">
        <v>83.51</v>
      </c>
      <c r="M12" s="14">
        <v>76.9</v>
      </c>
    </row>
    <row r="13" spans="1:13" ht="18">
      <c r="A13" s="3" t="s">
        <v>130</v>
      </c>
      <c r="B13" s="48">
        <f>(B11*16)/B12</f>
        <v>4.597306967540381</v>
      </c>
      <c r="K13" s="7" t="s">
        <v>33</v>
      </c>
      <c r="L13" s="8">
        <v>131.44</v>
      </c>
      <c r="M13" s="8">
        <v>108.92</v>
      </c>
    </row>
    <row r="14" spans="1:15" ht="18">
      <c r="A14" s="13" t="s">
        <v>31</v>
      </c>
      <c r="B14" s="48">
        <f>IF(B13&lt;3,L8,IF(B13&lt;5,L9,IF(B13&lt;7,L10,IF(B13&lt;9.999,L11,IF(B13&lt;13,L12,L13)))))</f>
        <v>37.45</v>
      </c>
      <c r="C14" s="1" t="s">
        <v>32</v>
      </c>
      <c r="K14" s="12" t="s">
        <v>35</v>
      </c>
      <c r="L14" s="20" t="s">
        <v>36</v>
      </c>
      <c r="M14" s="20" t="s">
        <v>36</v>
      </c>
      <c r="N14"/>
      <c r="O14"/>
    </row>
    <row r="15" spans="1:13" ht="18">
      <c r="A15" s="13" t="s">
        <v>34</v>
      </c>
      <c r="B15" s="48">
        <f>IF(B13&lt;3,M8,IF(B13&lt;5,M9,IF(B13&lt;7,M10,IF(B13&lt;9.999,M11,IF(B13&lt;13,M12,M13)))))</f>
        <v>34.13</v>
      </c>
      <c r="C15" s="1" t="s">
        <v>32</v>
      </c>
      <c r="I15"/>
      <c r="J15"/>
      <c r="K15"/>
      <c r="L15"/>
      <c r="M15"/>
    </row>
    <row r="16" spans="1:3" ht="18">
      <c r="A16" s="3" t="s">
        <v>37</v>
      </c>
      <c r="B16" s="49">
        <f>ROUND(IF(B7=0,AVERAGE(B6*1500,B11*B10,B14*B12,B15*B12),AVERAGE(B6*1500,B7*1000,B11*B10,B14*B12,B15*B12)),-2)</f>
        <v>200</v>
      </c>
      <c r="C16" s="22" t="s">
        <v>38</v>
      </c>
    </row>
    <row r="17" spans="1:3" ht="18">
      <c r="A17" s="13" t="s">
        <v>39</v>
      </c>
      <c r="B17" s="49">
        <f>B16/3</f>
        <v>66.66666666666667</v>
      </c>
      <c r="C17" s="1" t="s">
        <v>40</v>
      </c>
    </row>
    <row r="18" spans="1:3" ht="18">
      <c r="A18" s="13" t="s">
        <v>41</v>
      </c>
      <c r="B18" s="49">
        <f>B16/2</f>
        <v>100</v>
      </c>
      <c r="C18" s="1" t="s">
        <v>40</v>
      </c>
    </row>
    <row r="19" spans="1:3" ht="18">
      <c r="A19" s="13" t="s">
        <v>42</v>
      </c>
      <c r="B19" s="49">
        <f>B16*0.8</f>
        <v>160</v>
      </c>
      <c r="C19" s="1" t="s">
        <v>43</v>
      </c>
    </row>
    <row r="20" spans="1:3" ht="18">
      <c r="A20" s="13" t="s">
        <v>44</v>
      </c>
      <c r="B20" s="15">
        <v>12</v>
      </c>
      <c r="C20" s="1" t="s">
        <v>45</v>
      </c>
    </row>
    <row r="21" spans="1:3" ht="18">
      <c r="A21" s="13" t="s">
        <v>46</v>
      </c>
      <c r="B21" s="15">
        <v>6</v>
      </c>
      <c r="C21" s="1" t="s">
        <v>45</v>
      </c>
    </row>
    <row r="22" spans="1:2" ht="18">
      <c r="A22" s="13" t="s">
        <v>47</v>
      </c>
      <c r="B22" s="49">
        <f>(B19/((B20/12)^4*(B21/12)*1.11))^(1/3)*1000</f>
        <v>6606.05725128743</v>
      </c>
    </row>
    <row r="23" spans="1:3" ht="18">
      <c r="A23" s="13" t="s">
        <v>48</v>
      </c>
      <c r="B23" s="48">
        <f>(B22*B21)/1056</f>
        <v>37.534416200496764</v>
      </c>
      <c r="C23" s="1" t="s">
        <v>49</v>
      </c>
    </row>
    <row r="24" spans="1:3" ht="18">
      <c r="A24" s="13" t="s">
        <v>50</v>
      </c>
      <c r="B24" s="48">
        <f>SQRT((B8*16)/(B9/144))*3.7</f>
        <v>11.047443416019417</v>
      </c>
      <c r="C24" s="1" t="s">
        <v>51</v>
      </c>
    </row>
    <row r="25" spans="1:3" ht="18">
      <c r="A25" s="13" t="s">
        <v>52</v>
      </c>
      <c r="B25" s="48">
        <f>B23/B24</f>
        <v>3.3975658246929545</v>
      </c>
      <c r="C25" s="1" t="s">
        <v>53</v>
      </c>
    </row>
    <row r="26" spans="1:13" ht="18">
      <c r="A26"/>
      <c r="B26"/>
      <c r="C26"/>
      <c r="E26"/>
      <c r="G26"/>
      <c r="I26"/>
      <c r="K26"/>
      <c r="M26"/>
    </row>
    <row r="27" spans="1:2" ht="18">
      <c r="A27" s="3" t="s">
        <v>54</v>
      </c>
      <c r="B27" s="2" t="s">
        <v>55</v>
      </c>
    </row>
    <row r="28" ht="18">
      <c r="B28" s="2" t="s">
        <v>56</v>
      </c>
    </row>
    <row r="29" spans="1:2" ht="18">
      <c r="A29" s="23" t="s">
        <v>57</v>
      </c>
      <c r="B29" s="2" t="s">
        <v>58</v>
      </c>
    </row>
    <row r="30" spans="1:4" ht="18">
      <c r="A30" s="50">
        <f>ROUND(($B$20*0.5)/5,1)*5</f>
        <v>6</v>
      </c>
      <c r="B30" s="50">
        <f>ROUND(($B$20*0.7)/5,1)*5</f>
        <v>8.5</v>
      </c>
      <c r="D30" s="1" t="s">
        <v>59</v>
      </c>
    </row>
    <row r="31" spans="1:4" ht="18">
      <c r="A31" s="50">
        <f>ROUND(($B$20*0.55)/5,1)*5</f>
        <v>6.5</v>
      </c>
      <c r="B31" s="50">
        <f>ROUND(($B$20*0.75)/5,1)*5</f>
        <v>9</v>
      </c>
      <c r="D31" s="5" t="s">
        <v>131</v>
      </c>
    </row>
    <row r="32" spans="1:4" ht="18">
      <c r="A32" s="50">
        <f>ROUND(($B$20*0.6)/5,1)*5</f>
        <v>7</v>
      </c>
      <c r="B32" s="50">
        <f>ROUND(($B$20*0.8)/5,1)*5</f>
        <v>9.5</v>
      </c>
      <c r="D32" s="2" t="s">
        <v>61</v>
      </c>
    </row>
    <row r="33" spans="2:4" ht="18">
      <c r="B33" s="2"/>
      <c r="D33" s="2"/>
    </row>
    <row r="34" spans="1:9" ht="18">
      <c r="A34" s="51" t="s">
        <v>85</v>
      </c>
      <c r="B34"/>
      <c r="D34" s="2"/>
      <c r="H34" s="26" t="s">
        <v>71</v>
      </c>
      <c r="I34" s="27"/>
    </row>
    <row r="35" spans="1:9" ht="18">
      <c r="A35" s="5" t="s">
        <v>132</v>
      </c>
      <c r="B35"/>
      <c r="D35" s="2"/>
      <c r="H35" s="26"/>
      <c r="I35" s="37" t="s">
        <v>76</v>
      </c>
    </row>
    <row r="36" spans="2:9" ht="18">
      <c r="B36" s="5"/>
      <c r="D36" s="2"/>
      <c r="H36" s="37" t="s">
        <v>78</v>
      </c>
      <c r="I36" s="37" t="s">
        <v>79</v>
      </c>
    </row>
    <row r="37" spans="1:9" ht="18">
      <c r="A37" s="37" t="s">
        <v>121</v>
      </c>
      <c r="B37" s="36" t="s">
        <v>133</v>
      </c>
      <c r="C37" s="37" t="s">
        <v>134</v>
      </c>
      <c r="D37" s="37" t="s">
        <v>135</v>
      </c>
      <c r="E37" s="27"/>
      <c r="H37" s="36" t="s">
        <v>83</v>
      </c>
      <c r="I37" s="36">
        <v>15</v>
      </c>
    </row>
    <row r="38" spans="1:9" ht="18">
      <c r="A38" s="37" t="s">
        <v>136</v>
      </c>
      <c r="B38" s="37" t="s">
        <v>137</v>
      </c>
      <c r="C38" s="37" t="s">
        <v>98</v>
      </c>
      <c r="D38" s="52" t="s">
        <v>138</v>
      </c>
      <c r="E38" s="52"/>
      <c r="H38" s="37" t="s">
        <v>84</v>
      </c>
      <c r="I38" s="37">
        <v>17.5</v>
      </c>
    </row>
    <row r="39" spans="1:9" ht="18">
      <c r="A39" s="53">
        <f>B16/35</f>
        <v>5.714285714285714</v>
      </c>
      <c r="B39" s="54">
        <f>B16/100</f>
        <v>2</v>
      </c>
      <c r="C39" s="54">
        <f>B22/(A39*0.75)</f>
        <v>1541.4133586337337</v>
      </c>
      <c r="D39" s="54">
        <f>C39*(1/0.9)</f>
        <v>1712.6815095930374</v>
      </c>
      <c r="E39" s="27"/>
      <c r="H39" s="36" t="s">
        <v>86</v>
      </c>
      <c r="I39" s="36">
        <v>22.5</v>
      </c>
    </row>
    <row r="40" spans="1:9" ht="18">
      <c r="A40" s="27"/>
      <c r="B40" s="37" t="s">
        <v>139</v>
      </c>
      <c r="C40" s="26"/>
      <c r="D40" s="55" t="s">
        <v>139</v>
      </c>
      <c r="E40" s="27"/>
      <c r="F40" s="19"/>
      <c r="G40" s="19"/>
      <c r="H40" s="37" t="s">
        <v>88</v>
      </c>
      <c r="I40" s="37">
        <v>47</v>
      </c>
    </row>
    <row r="41" spans="1:9" ht="18">
      <c r="A41" s="56" t="s">
        <v>140</v>
      </c>
      <c r="B41" s="54">
        <f>B17</f>
        <v>66.66666666666667</v>
      </c>
      <c r="C41" s="36" t="s">
        <v>74</v>
      </c>
      <c r="D41" s="54">
        <f>B18</f>
        <v>100</v>
      </c>
      <c r="E41" s="27"/>
      <c r="F41" s="19"/>
      <c r="G41" s="19"/>
      <c r="H41" s="36" t="s">
        <v>89</v>
      </c>
      <c r="I41" s="36">
        <v>61</v>
      </c>
    </row>
    <row r="42" spans="1:9" ht="18">
      <c r="A42" s="56"/>
      <c r="B42" s="23"/>
      <c r="D42" s="23"/>
      <c r="E42" s="27"/>
      <c r="F42" s="19"/>
      <c r="G42" s="19"/>
      <c r="H42" s="37" t="s">
        <v>96</v>
      </c>
      <c r="I42" s="37">
        <v>74</v>
      </c>
    </row>
    <row r="43" spans="1:9" ht="18">
      <c r="A43" s="51" t="s">
        <v>141</v>
      </c>
      <c r="B43"/>
      <c r="D43" s="23"/>
      <c r="E43" s="36" t="s">
        <v>101</v>
      </c>
      <c r="F43" s="19"/>
      <c r="G43" s="19"/>
      <c r="H43" s="36" t="s">
        <v>104</v>
      </c>
      <c r="I43" s="36">
        <v>80.5</v>
      </c>
    </row>
    <row r="44" spans="1:9" ht="18">
      <c r="A44" s="15" t="s">
        <v>142</v>
      </c>
      <c r="B44" s="15"/>
      <c r="C44" s="15"/>
      <c r="D44" s="15"/>
      <c r="E44" s="39">
        <v>32</v>
      </c>
      <c r="F44" s="19"/>
      <c r="G44" s="19"/>
      <c r="H44" s="37" t="s">
        <v>105</v>
      </c>
      <c r="I44" s="37">
        <v>88</v>
      </c>
    </row>
    <row r="45" spans="1:9" ht="18">
      <c r="A45" s="15" t="s">
        <v>143</v>
      </c>
      <c r="B45" s="15"/>
      <c r="C45" s="15"/>
      <c r="D45" s="15"/>
      <c r="E45" s="39">
        <v>48</v>
      </c>
      <c r="F45" s="19"/>
      <c r="G45" s="19"/>
      <c r="H45" s="36" t="s">
        <v>106</v>
      </c>
      <c r="I45" s="36">
        <v>109</v>
      </c>
    </row>
    <row r="46" spans="1:9" ht="18">
      <c r="A46" s="15"/>
      <c r="B46" s="15"/>
      <c r="C46" s="15"/>
      <c r="D46" s="15"/>
      <c r="E46" s="15"/>
      <c r="F46" s="19"/>
      <c r="G46" s="19"/>
      <c r="H46" s="37" t="s">
        <v>107</v>
      </c>
      <c r="I46" s="37">
        <v>142</v>
      </c>
    </row>
    <row r="47" spans="1:9" ht="18">
      <c r="A47" s="15"/>
      <c r="B47" s="15"/>
      <c r="C47" s="15"/>
      <c r="D47" s="15"/>
      <c r="E47" s="15"/>
      <c r="F47" s="19"/>
      <c r="G47" s="19"/>
      <c r="H47" s="36" t="s">
        <v>108</v>
      </c>
      <c r="I47" s="36">
        <v>141</v>
      </c>
    </row>
    <row r="48" spans="1:9" ht="18">
      <c r="A48" s="15"/>
      <c r="B48" s="15"/>
      <c r="C48" s="15"/>
      <c r="D48" s="15"/>
      <c r="E48" s="15"/>
      <c r="F48" s="19"/>
      <c r="G48" s="19"/>
      <c r="H48" s="44" t="s">
        <v>109</v>
      </c>
      <c r="I48" s="44">
        <v>171</v>
      </c>
    </row>
    <row r="49" spans="1:9" ht="18">
      <c r="A49"/>
      <c r="B49"/>
      <c r="D49" s="23"/>
      <c r="E49" s="19"/>
      <c r="F49" s="19"/>
      <c r="G49" s="19"/>
      <c r="H49" s="36" t="s">
        <v>110</v>
      </c>
      <c r="I49" s="36">
        <v>178</v>
      </c>
    </row>
    <row r="50" spans="1:9" ht="18">
      <c r="A50"/>
      <c r="B50"/>
      <c r="D50" s="23"/>
      <c r="E50" s="19"/>
      <c r="F50" s="19"/>
      <c r="G50" s="19"/>
      <c r="H50" s="37" t="s">
        <v>111</v>
      </c>
      <c r="I50" s="37">
        <v>216</v>
      </c>
    </row>
    <row r="51" spans="1:9" ht="18">
      <c r="A51"/>
      <c r="B51"/>
      <c r="D51" s="23"/>
      <c r="E51" s="19"/>
      <c r="F51" s="19"/>
      <c r="G51" s="19"/>
      <c r="H51" s="36" t="s">
        <v>112</v>
      </c>
      <c r="I51" s="36">
        <v>255</v>
      </c>
    </row>
    <row r="52" spans="1:9" ht="18">
      <c r="A52"/>
      <c r="B52"/>
      <c r="D52" s="23"/>
      <c r="E52" s="19"/>
      <c r="F52" s="19"/>
      <c r="G52" s="19"/>
      <c r="H52" s="37" t="s">
        <v>113</v>
      </c>
      <c r="I52" s="37">
        <v>295</v>
      </c>
    </row>
    <row r="53" spans="1:9" ht="18">
      <c r="A53" s="19"/>
      <c r="B53" s="23"/>
      <c r="D53" s="23"/>
      <c r="E53" s="19"/>
      <c r="F53" s="19"/>
      <c r="G53" s="19"/>
      <c r="H53" s="36" t="s">
        <v>114</v>
      </c>
      <c r="I53" s="36">
        <v>400</v>
      </c>
    </row>
    <row r="57" spans="11:13" ht="18">
      <c r="K57" s="7"/>
      <c r="L57" s="8"/>
      <c r="M57" s="8"/>
    </row>
    <row r="58" spans="11:13" ht="18">
      <c r="K58" s="12"/>
      <c r="L58" s="8"/>
      <c r="M58" s="8"/>
    </row>
    <row r="59" spans="11:13" ht="18">
      <c r="K59" s="7"/>
      <c r="L59" s="8"/>
      <c r="M59" s="8"/>
    </row>
    <row r="60" spans="11:13" ht="18">
      <c r="K60" s="12"/>
      <c r="L60" s="14"/>
      <c r="M60" s="20"/>
    </row>
    <row r="61" spans="11:13" ht="18">
      <c r="K61" s="7"/>
      <c r="L61" s="8"/>
      <c r="M61" s="8"/>
    </row>
    <row r="62" spans="11:13" ht="18">
      <c r="K62" s="12"/>
      <c r="L62" s="20"/>
      <c r="M62" s="20"/>
    </row>
    <row r="63" spans="11:13" ht="18">
      <c r="K63" s="7"/>
      <c r="L63" s="8"/>
      <c r="M63" s="8"/>
    </row>
    <row r="64" spans="11:13" ht="18">
      <c r="K64" s="12"/>
      <c r="L64" s="14"/>
      <c r="M64" s="14"/>
    </row>
    <row r="65" spans="11:13" ht="18">
      <c r="K65" s="7"/>
      <c r="L65" s="8"/>
      <c r="M65" s="8"/>
    </row>
    <row r="73" spans="1:16" ht="18">
      <c r="A73" s="27"/>
      <c r="B73" s="27"/>
      <c r="C73" s="27"/>
      <c r="D73" s="43"/>
      <c r="E73" s="43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</sheetData>
  <sheetProtection/>
  <mergeCells count="1">
    <mergeCell ref="B5:C5"/>
  </mergeCells>
  <dataValidations count="1">
    <dataValidation allowBlank="1" showErrorMessage="1" sqref="A6:A7">
      <formula1>0</formula1>
      <formula2>0</formula2>
    </dataValidation>
  </dataValidations>
  <hyperlinks>
    <hyperlink ref="D31" r:id="rId1" display="https://www.apcprop.com/shop/"/>
    <hyperlink ref="A35" r:id="rId2" display="https://innov8tivedesigns.com/parts/brushless-motors?cat=51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2020-08-24T16:59:27Z</dcterms:created>
  <dcterms:modified xsi:type="dcterms:W3CDTF">2023-03-08T14:20:32Z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