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5480" windowHeight="15000" tabRatio="337" activeTab="0"/>
  </bookViews>
  <sheets>
    <sheet name="Main Workshe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<sst xmlns="http://schemas.openxmlformats.org/spreadsheetml/2006/main" count="145" uniqueCount="122">
  <si>
    <t>AR500</t>
  </si>
  <si>
    <t xml:space="preserve">Spektrum 5-channel Sport Receiver </t>
  </si>
  <si>
    <t>none required</t>
  </si>
  <si>
    <t xml:space="preserve">HYPERION G3 CX 11.1V 3S 3300 MAH 25C/45C </t>
  </si>
  <si>
    <t>Castle Creations</t>
  </si>
  <si>
    <t>Flyability</t>
  </si>
  <si>
    <t>Glow Model Derived Data:</t>
  </si>
  <si>
    <t>Cubic wing loading (lowest wt.):</t>
  </si>
  <si>
    <t>Cubic wing loading (highest wt.):</t>
  </si>
  <si>
    <t>Other considerations:</t>
  </si>
  <si>
    <t>Required Minimum in. oz. Torque:</t>
  </si>
  <si>
    <t>Hitec Servo #:</t>
  </si>
  <si>
    <t>Number of servos required:</t>
  </si>
  <si>
    <t>Receiver weight:</t>
  </si>
  <si>
    <t>oz.</t>
  </si>
  <si>
    <t>mAh</t>
  </si>
  <si>
    <r>
      <t xml:space="preserve">Enter number of Li-Po cells in series in pack - </t>
    </r>
    <r>
      <rPr>
        <sz val="10"/>
        <rFont val="Verdana"/>
        <family val="0"/>
      </rPr>
      <t>Start with 2, check amp draw in cell B25, For sport/sport scale don't exceed 45 amps</t>
    </r>
  </si>
  <si>
    <r>
      <t>Note:</t>
    </r>
    <r>
      <rPr>
        <sz val="10"/>
        <rFont val="Verdana"/>
        <family val="0"/>
      </rPr>
      <t xml:space="preserve"> equivalent products may be substituted, </t>
    </r>
  </si>
  <si>
    <t>Enter Glow Model Data:</t>
  </si>
  <si>
    <t>sq.in.</t>
  </si>
  <si>
    <t>Minimum Burst (short term) amps for ESC &amp; Motor:</t>
  </si>
  <si>
    <t>Motor Burst Amps:</t>
  </si>
  <si>
    <t>Prop:</t>
  </si>
  <si>
    <t>Motor mount, prop adapter, prop weight (oz.)</t>
  </si>
  <si>
    <t>Cell Capacity mAh:</t>
  </si>
  <si>
    <t>ESC weight (oz.)</t>
  </si>
  <si>
    <t>Recommended Hitec Servos:</t>
  </si>
  <si>
    <t>Number of servos:</t>
  </si>
  <si>
    <t>Weight of Hitec servos (oz.):</t>
  </si>
  <si>
    <t>Recommended Receiver:</t>
  </si>
  <si>
    <t>Recommended receiver weight:</t>
  </si>
  <si>
    <t>Kool Flight UBEC or similar (0 = None required):</t>
  </si>
  <si>
    <t>Estimated 20C cell mAh:</t>
  </si>
  <si>
    <t>Engine 1, smallest 2-stroke recommendation:</t>
  </si>
  <si>
    <t>Engine 2, largest 2 stroke recommendation:</t>
  </si>
  <si>
    <t>Servo weight (oz.)</t>
  </si>
  <si>
    <t>My</t>
  </si>
  <si>
    <t>Choices</t>
  </si>
  <si>
    <t>Summary &amp; Budget Good Performance</t>
  </si>
  <si>
    <t>Glow Airframe to e-Power conversion worksheet</t>
  </si>
  <si>
    <t>From</t>
  </si>
  <si>
    <t>Above</t>
  </si>
  <si>
    <t>Airframe weight estimate (oz.):</t>
  </si>
  <si>
    <t>Number of Li-Poly Cells in series:</t>
  </si>
  <si>
    <t>Summary of Estimates:</t>
  </si>
  <si>
    <t>Motor Weight (oz.)</t>
  </si>
  <si>
    <t>Use kit price for kit and 10% of ARF price for ARF</t>
  </si>
  <si>
    <t>If only one weight given, enter same weight in both cells.</t>
  </si>
  <si>
    <t>If only one displacement given, enter same displacement in both cells.</t>
  </si>
  <si>
    <t>ESC amp rating</t>
  </si>
  <si>
    <t>Range:</t>
  </si>
  <si>
    <t>Mtr. Wt.</t>
  </si>
  <si>
    <t>lightest</t>
  </si>
  <si>
    <t>heaviest</t>
  </si>
  <si>
    <t>not required</t>
  </si>
  <si>
    <t>ESC weight</t>
  </si>
  <si>
    <t>No</t>
  </si>
  <si>
    <r>
      <t xml:space="preserve">Minimum </t>
    </r>
    <r>
      <rPr>
        <b/>
        <u val="single"/>
        <sz val="10"/>
        <rFont val="Verdana"/>
        <family val="0"/>
      </rPr>
      <t>Watts In</t>
    </r>
    <r>
      <rPr>
        <b/>
        <sz val="10"/>
        <rFont val="Verdana"/>
        <family val="0"/>
      </rPr>
      <t xml:space="preserve"> for good performance:</t>
    </r>
  </si>
  <si>
    <t>Scorpion SII-3020-780</t>
  </si>
  <si>
    <t>APC 13x10E</t>
  </si>
  <si>
    <t>Phoenix 45</t>
  </si>
  <si>
    <t>HS-82</t>
  </si>
  <si>
    <t>On-board radio system weight w/20% fudge factor:</t>
  </si>
  <si>
    <t>On-board Radio system wt. w/20% ff:</t>
  </si>
  <si>
    <t>oz./cu.ft.</t>
  </si>
  <si>
    <t>Estimated Amps:</t>
  </si>
  <si>
    <t>Hitec Servo Weight:</t>
  </si>
  <si>
    <t>On-board radio data:</t>
  </si>
  <si>
    <t>[If = 0, then not used] Kool Flight Systems UBEC:</t>
  </si>
  <si>
    <t>to</t>
  </si>
  <si>
    <t>Motor Weight Range (oz):</t>
  </si>
  <si>
    <t>Motor should be between these two weights</t>
  </si>
  <si>
    <t>Mark's Gee Bee</t>
  </si>
  <si>
    <t>Notes</t>
  </si>
  <si>
    <t>N/A</t>
  </si>
  <si>
    <t>Mark's measurements</t>
  </si>
  <si>
    <t>Check data sheet for motor, cells may need adjusting</t>
  </si>
  <si>
    <t>Highest Mfg. Weight:</t>
  </si>
  <si>
    <t>cu.in.</t>
  </si>
  <si>
    <t>Wing Area:</t>
  </si>
  <si>
    <t>Lowest Mfg weight:</t>
  </si>
  <si>
    <t>Minimum number of functions for receiver:</t>
  </si>
  <si>
    <t>watts in</t>
  </si>
  <si>
    <t>Power system wt. w/5% fudge factor:</t>
  </si>
  <si>
    <t>Recommended ESC:</t>
  </si>
  <si>
    <t>Minimum ESC Max Amps:</t>
  </si>
  <si>
    <t>Items need to finish airframe:</t>
  </si>
  <si>
    <t>grams</t>
  </si>
  <si>
    <t>Target Maximum RTF weight:</t>
  </si>
  <si>
    <t>Estimated Completed Airframe Weight [CAW]:</t>
  </si>
  <si>
    <t>Estimated Brushless Motor Weight:</t>
  </si>
  <si>
    <t>Approximate RTF weight:</t>
  </si>
  <si>
    <t>E-conversion Derived Data:</t>
  </si>
  <si>
    <t>Estimated Battery Weight:</t>
  </si>
  <si>
    <t>If mAh does not exist, round up in mAh</t>
  </si>
  <si>
    <t>pay attention to the servo torque and all component weights</t>
  </si>
  <si>
    <t>More cells-more efficient - fewer cells-cheaper. For sport/sport scale planes, 35 amps or less results in longer flights. 10S is practical max.</t>
  </si>
  <si>
    <t>Hitec</t>
  </si>
  <si>
    <t>Enter Data in green cells only!</t>
  </si>
  <si>
    <t>Recommended Mfg. Burst amps draw about:</t>
  </si>
  <si>
    <t>Receiver weight (oz.)</t>
  </si>
  <si>
    <t>oz./sq.ft.</t>
  </si>
  <si>
    <t>Target RTF weight:</t>
  </si>
  <si>
    <r>
      <t>Important numbers for Power System Selection are in</t>
    </r>
    <r>
      <rPr>
        <b/>
        <sz val="10"/>
        <rFont val="Verdana"/>
        <family val="0"/>
      </rPr>
      <t xml:space="preserve"> bold, </t>
    </r>
    <r>
      <rPr>
        <b/>
        <sz val="10"/>
        <color indexed="10"/>
        <rFont val="Verdana"/>
        <family val="0"/>
      </rPr>
      <t>red</t>
    </r>
    <r>
      <rPr>
        <b/>
        <sz val="10"/>
        <rFont val="Verdana"/>
        <family val="0"/>
      </rPr>
      <t>.</t>
    </r>
  </si>
  <si>
    <t>Anticipated Watts in:</t>
  </si>
  <si>
    <t>Weight in pounds:</t>
  </si>
  <si>
    <t>Watts in/lb.:</t>
  </si>
  <si>
    <t>Battery weight:</t>
  </si>
  <si>
    <t>High voltage version required (Yes/No)</t>
  </si>
  <si>
    <t>Wing Loading:</t>
  </si>
  <si>
    <t>Enter Plane Name in the green cell A3 below:</t>
  </si>
  <si>
    <t>amps</t>
  </si>
  <si>
    <t>Power System Weight (oz.) w/5% fudge factor:</t>
  </si>
  <si>
    <t>ESC weight:</t>
  </si>
  <si>
    <t>Castle Creations Name:</t>
  </si>
  <si>
    <t>FMA Receiver Name:</t>
  </si>
  <si>
    <t>Approximate New CWL:</t>
  </si>
  <si>
    <t>Weight of servos:</t>
  </si>
  <si>
    <t>About the brushless outrunner motor:</t>
  </si>
  <si>
    <t>Price</t>
  </si>
  <si>
    <t>CWL:</t>
  </si>
  <si>
    <t>Number of servos recommended: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</si>
</sst>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yy"/>
    <numFmt numFmtId="167" formatCode="&quot;$&quot;#,##0.00"/>
    <numFmt numFmtId="168" formatCode="0_);[Red]\(0\)"/>
    <numFmt numFmtId="169" formatCode="#,##0.0_);[Red]\(#,##0.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b/>
      <sz val="12"/>
      <color indexed="10"/>
      <name val="Verdana"/>
      <family val="0"/>
    </font>
    <font>
      <b/>
      <u val="single"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64" fontId="4" fillId="2" borderId="0" xfId="0" applyNumberFormat="1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center" wrapText="1"/>
      <protection locked="0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164" fontId="4" fillId="2" borderId="0" xfId="0" applyNumberFormat="1" applyFont="1" applyFill="1" applyAlignment="1" applyProtection="1">
      <alignment horizontal="right" wrapText="1"/>
      <protection locked="0"/>
    </xf>
    <xf numFmtId="165" fontId="4" fillId="2" borderId="0" xfId="0" applyNumberFormat="1" applyFont="1" applyFill="1" applyAlignment="1" applyProtection="1">
      <alignment horizontal="right" wrapText="1"/>
      <protection locked="0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8" fontId="4" fillId="2" borderId="0" xfId="0" applyNumberFormat="1" applyFont="1" applyFill="1" applyAlignment="1" applyProtection="1">
      <alignment/>
      <protection locked="0"/>
    </xf>
    <xf numFmtId="40" fontId="4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/>
      <protection/>
    </xf>
    <xf numFmtId="168" fontId="4" fillId="2" borderId="0" xfId="0" applyNumberFormat="1" applyFont="1" applyFill="1" applyAlignment="1" applyProtection="1">
      <alignment/>
      <protection locked="0"/>
    </xf>
    <xf numFmtId="40" fontId="4" fillId="2" borderId="0" xfId="0" applyNumberFormat="1" applyFont="1" applyFill="1" applyAlignment="1" applyProtection="1">
      <alignment horizontal="center"/>
      <protection locked="0"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8" fontId="1" fillId="0" borderId="0" xfId="0" applyNumberFormat="1" applyFont="1" applyAlignment="1" applyProtection="1">
      <alignment/>
      <protection/>
    </xf>
    <xf numFmtId="8" fontId="4" fillId="0" borderId="0" xfId="0" applyNumberFormat="1" applyFont="1" applyFill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168" fontId="4" fillId="2" borderId="0" xfId="0" applyNumberFormat="1" applyFont="1" applyFill="1" applyAlignment="1" applyProtection="1">
      <alignment horizontal="center"/>
      <protection locked="0"/>
    </xf>
    <xf numFmtId="169" fontId="4" fillId="2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38" fontId="4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40" fontId="4" fillId="2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workbookViewId="0" topLeftCell="A1">
      <selection activeCell="G79" sqref="G79"/>
    </sheetView>
  </sheetViews>
  <sheetFormatPr defaultColWidth="11.00390625" defaultRowHeight="12.75"/>
  <cols>
    <col min="1" max="1" width="44.25390625" style="7" customWidth="1"/>
    <col min="2" max="2" width="10.25390625" style="7" customWidth="1"/>
    <col min="3" max="3" width="14.25390625" style="7" customWidth="1"/>
    <col min="4" max="4" width="8.375" style="0" customWidth="1"/>
    <col min="7" max="7" width="13.00390625" style="0" bestFit="1" customWidth="1"/>
  </cols>
  <sheetData>
    <row r="1" spans="1:2" ht="12.75">
      <c r="A1" s="37" t="s">
        <v>39</v>
      </c>
      <c r="B1" s="14" t="s">
        <v>98</v>
      </c>
    </row>
    <row r="2" spans="1:6" ht="12.75">
      <c r="A2" s="39" t="s">
        <v>110</v>
      </c>
      <c r="B2" s="86" t="s">
        <v>103</v>
      </c>
      <c r="C2" s="87"/>
      <c r="D2" s="87"/>
      <c r="E2" s="87"/>
      <c r="F2" s="87"/>
    </row>
    <row r="3" spans="1:6" ht="12.75">
      <c r="A3" s="15" t="s">
        <v>72</v>
      </c>
      <c r="B3" s="87"/>
      <c r="C3" s="87"/>
      <c r="D3" s="87"/>
      <c r="E3" s="87"/>
      <c r="F3" s="87"/>
    </row>
    <row r="4" spans="1:3" ht="12.75">
      <c r="A4" s="34" t="s">
        <v>18</v>
      </c>
      <c r="B4" s="5"/>
      <c r="C4" s="14"/>
    </row>
    <row r="5" spans="1:3" ht="12.75">
      <c r="A5" s="35" t="s">
        <v>79</v>
      </c>
      <c r="B5" s="19">
        <v>256</v>
      </c>
      <c r="C5" s="7" t="s">
        <v>19</v>
      </c>
    </row>
    <row r="6" spans="1:6" ht="12.75">
      <c r="A6" s="35" t="s">
        <v>80</v>
      </c>
      <c r="B6" s="19">
        <v>44</v>
      </c>
      <c r="C6" s="7" t="s">
        <v>14</v>
      </c>
      <c r="D6" s="87" t="s">
        <v>47</v>
      </c>
      <c r="E6" s="87"/>
      <c r="F6" s="87"/>
    </row>
    <row r="7" spans="1:6" ht="12.75">
      <c r="A7" s="35" t="s">
        <v>77</v>
      </c>
      <c r="B7" s="19">
        <v>51.2</v>
      </c>
      <c r="C7" s="7" t="s">
        <v>14</v>
      </c>
      <c r="D7" s="87"/>
      <c r="E7" s="87"/>
      <c r="F7" s="87"/>
    </row>
    <row r="8" spans="1:6" ht="12.75">
      <c r="A8" s="35" t="s">
        <v>33</v>
      </c>
      <c r="B8" s="20">
        <v>0.25</v>
      </c>
      <c r="C8" s="7" t="s">
        <v>78</v>
      </c>
      <c r="D8" s="87" t="s">
        <v>48</v>
      </c>
      <c r="E8" s="87"/>
      <c r="F8" s="87"/>
    </row>
    <row r="9" spans="1:6" ht="12.75">
      <c r="A9" s="35" t="s">
        <v>34</v>
      </c>
      <c r="B9" s="20">
        <v>0.32</v>
      </c>
      <c r="C9" s="7" t="s">
        <v>78</v>
      </c>
      <c r="D9" s="87"/>
      <c r="E9" s="87"/>
      <c r="F9" s="87"/>
    </row>
    <row r="10" spans="1:6" ht="12.75">
      <c r="A10" s="35" t="s">
        <v>81</v>
      </c>
      <c r="B10" s="16">
        <v>4</v>
      </c>
      <c r="D10" s="87"/>
      <c r="E10" s="87"/>
      <c r="F10" s="87"/>
    </row>
    <row r="11" spans="1:2" ht="12.75">
      <c r="A11" s="35" t="s">
        <v>121</v>
      </c>
      <c r="B11" s="16">
        <v>4</v>
      </c>
    </row>
    <row r="12" spans="1:2" ht="12.75">
      <c r="A12" s="36"/>
      <c r="B12" s="33"/>
    </row>
    <row r="13" ht="12.75">
      <c r="A13" s="37" t="s">
        <v>6</v>
      </c>
    </row>
    <row r="14" spans="1:4" ht="12.75">
      <c r="A14" s="35" t="s">
        <v>7</v>
      </c>
      <c r="B14" s="8">
        <f>B6/(B5/144)^1.5</f>
        <v>18.5625</v>
      </c>
      <c r="C14" s="4" t="s">
        <v>64</v>
      </c>
      <c r="D14" s="1" t="str">
        <f>IF(B14&gt;21,"very difficult",IF(B14&gt;17,"expert sport",IF(B14&gt;13,"advanced sport",IF(B14&gt;10,"sport",IF(B14&gt;7,"easy sport","Too light for sport model")))))</f>
        <v>expert sport</v>
      </c>
    </row>
    <row r="15" spans="1:4" ht="12.75">
      <c r="A15" s="35" t="s">
        <v>8</v>
      </c>
      <c r="B15" s="8">
        <f>B7/(B5/144)^1.5</f>
        <v>21.6</v>
      </c>
      <c r="C15" s="18" t="s">
        <v>64</v>
      </c>
      <c r="D15" s="1" t="str">
        <f>IF(B15&gt;21,"very difficult",IF(B15&gt;17,"expert sport",IF(B15&gt;13,"advanced sport",IF(B15&gt;10,"sport",IF(B15&gt;7,"easy sport","Too light for sport model")))))</f>
        <v>very difficult</v>
      </c>
    </row>
    <row r="16" ht="12.75">
      <c r="A16" s="36"/>
    </row>
    <row r="17" ht="12.75">
      <c r="A17" s="38" t="s">
        <v>92</v>
      </c>
    </row>
    <row r="18" spans="1:3" ht="12.75">
      <c r="A18" s="34" t="s">
        <v>57</v>
      </c>
      <c r="B18" s="21">
        <f>B19/16*100</f>
        <v>386.75</v>
      </c>
      <c r="C18" s="14" t="s">
        <v>82</v>
      </c>
    </row>
    <row r="19" spans="1:3" ht="12.75">
      <c r="A19" s="35" t="s">
        <v>88</v>
      </c>
      <c r="B19" s="8">
        <f>B20*2</f>
        <v>61.88</v>
      </c>
      <c r="C19" s="7" t="s">
        <v>14</v>
      </c>
    </row>
    <row r="20" spans="1:3" ht="12.75">
      <c r="A20" s="35" t="s">
        <v>89</v>
      </c>
      <c r="B20" s="5">
        <f>($B$6+$B$7)/2*0.65</f>
        <v>30.94</v>
      </c>
      <c r="C20" s="7" t="s">
        <v>14</v>
      </c>
    </row>
    <row r="21" ht="12.75">
      <c r="A21" s="35"/>
    </row>
    <row r="22" spans="1:6" ht="12.75">
      <c r="A22" s="34" t="s">
        <v>118</v>
      </c>
      <c r="D22" s="78" t="s">
        <v>51</v>
      </c>
      <c r="E22" s="24" t="s">
        <v>52</v>
      </c>
      <c r="F22" s="24" t="s">
        <v>53</v>
      </c>
    </row>
    <row r="23" spans="1:6" ht="12.75">
      <c r="A23" s="35" t="s">
        <v>90</v>
      </c>
      <c r="B23" s="22">
        <f>B18/65</f>
        <v>5.95</v>
      </c>
      <c r="C23" s="7" t="s">
        <v>14</v>
      </c>
      <c r="D23" s="77" t="s">
        <v>50</v>
      </c>
      <c r="E23" s="25">
        <f>B23*0.9</f>
        <v>5.355</v>
      </c>
      <c r="F23" s="25">
        <f>B23*1.2</f>
        <v>7.14</v>
      </c>
    </row>
    <row r="24" spans="1:4" ht="12.75">
      <c r="A24" s="35" t="s">
        <v>99</v>
      </c>
      <c r="B24" s="23">
        <f>B26*1.25</f>
        <v>46.04166666666667</v>
      </c>
      <c r="C24" s="7" t="s">
        <v>111</v>
      </c>
      <c r="D24" t="s">
        <v>76</v>
      </c>
    </row>
    <row r="25" spans="1:7" ht="36.75" customHeight="1">
      <c r="A25" s="37" t="s">
        <v>16</v>
      </c>
      <c r="B25" s="26">
        <v>3</v>
      </c>
      <c r="D25" s="88" t="s">
        <v>96</v>
      </c>
      <c r="E25" s="88"/>
      <c r="F25" s="88"/>
      <c r="G25" s="88"/>
    </row>
    <row r="26" spans="1:3" ht="12.75">
      <c r="A26" s="35" t="s">
        <v>65</v>
      </c>
      <c r="B26" s="9">
        <f>B18/3.5/B25</f>
        <v>36.833333333333336</v>
      </c>
      <c r="C26" s="7" t="s">
        <v>111</v>
      </c>
    </row>
    <row r="27" spans="1:4" ht="12.75">
      <c r="A27" s="35" t="s">
        <v>32</v>
      </c>
      <c r="B27" s="21">
        <f>ROUNDUP((B26/10)*1000,-2)</f>
        <v>3700</v>
      </c>
      <c r="C27" s="7" t="s">
        <v>15</v>
      </c>
      <c r="D27" t="s">
        <v>94</v>
      </c>
    </row>
    <row r="28" spans="1:5" ht="12.75">
      <c r="A28" s="35" t="s">
        <v>93</v>
      </c>
      <c r="B28" s="8">
        <f>0.0009324*B27*B25</f>
        <v>10.349639999999999</v>
      </c>
      <c r="C28" s="7" t="s">
        <v>14</v>
      </c>
      <c r="D28" s="12">
        <f>B28*28.349</f>
        <v>293.40194435999996</v>
      </c>
      <c r="E28" t="s">
        <v>87</v>
      </c>
    </row>
    <row r="29" spans="1:5" ht="12.75">
      <c r="A29" s="34" t="s">
        <v>112</v>
      </c>
      <c r="B29" s="10">
        <f>(B23+B28)*1.05</f>
        <v>17.114622</v>
      </c>
      <c r="C29" s="7" t="s">
        <v>14</v>
      </c>
      <c r="D29" s="13">
        <f>B29*28.349</f>
        <v>485.182419078</v>
      </c>
      <c r="E29" t="s">
        <v>87</v>
      </c>
    </row>
    <row r="30" ht="12.75">
      <c r="A30" s="34"/>
    </row>
    <row r="31" spans="1:3" ht="12.75">
      <c r="A31" s="34" t="s">
        <v>67</v>
      </c>
      <c r="B31" s="8"/>
      <c r="C31" s="17" t="s">
        <v>17</v>
      </c>
    </row>
    <row r="32" spans="1:4" ht="12.75">
      <c r="A32" s="35" t="s">
        <v>10</v>
      </c>
      <c r="B32" s="8">
        <f>SQRT($B$19)*4.5</f>
        <v>35.39872879073484</v>
      </c>
      <c r="D32" s="4" t="s">
        <v>95</v>
      </c>
    </row>
    <row r="33" spans="1:5" ht="12.75">
      <c r="A33" s="35" t="s">
        <v>66</v>
      </c>
      <c r="B33" s="7">
        <f>IF(B32&lt;=15,0.3,IF(B32&lt;=25,0.4,IF(B32&lt;=36,0.7,IF(B32&lt;=42,0.8,IF(B32&lt;=54,1.1,IF(B32&lt;=61,1.4,IF(B32&lt;=76,1.9,"out of range")))))))</f>
        <v>0.7</v>
      </c>
      <c r="C33" s="7" t="s">
        <v>14</v>
      </c>
      <c r="D33" s="2">
        <f>B33*28.349</f>
        <v>19.8443</v>
      </c>
      <c r="E33" t="s">
        <v>87</v>
      </c>
    </row>
    <row r="34" spans="1:2" ht="12.75">
      <c r="A34" s="35" t="s">
        <v>11</v>
      </c>
      <c r="B34" s="11" t="str">
        <f>IF(B33=0.3,"HS-55",IF(B33=0.4,"HS-65",IF(B33=0.7,"HS-81/82",IF(B33=0.8,"HS-85",IF(B33=1.1,"HS-225",IF(B33=1.4,"HS-475",IF(B33=1.9,"HS-625","out of range")))))))</f>
        <v>HS-81/82</v>
      </c>
    </row>
    <row r="35" spans="1:2" ht="12.75">
      <c r="A35" s="35" t="s">
        <v>12</v>
      </c>
      <c r="B35" s="12">
        <f>$B$11-1</f>
        <v>3</v>
      </c>
    </row>
    <row r="36" spans="1:3" ht="12.75">
      <c r="A36" s="35" t="s">
        <v>117</v>
      </c>
      <c r="B36" s="7">
        <f>B35*B33</f>
        <v>2.0999999999999996</v>
      </c>
      <c r="C36" s="7" t="s">
        <v>14</v>
      </c>
    </row>
    <row r="37" spans="1:3" ht="12.75">
      <c r="A37" s="35" t="s">
        <v>20</v>
      </c>
      <c r="B37" s="23">
        <f>B26*1.25</f>
        <v>46.04166666666667</v>
      </c>
      <c r="C37" s="18"/>
    </row>
    <row r="38" spans="1:5" ht="12.75">
      <c r="A38" s="35" t="s">
        <v>113</v>
      </c>
      <c r="B38" s="7">
        <f>IF(B37&lt;=11,0.21,IF(B37&lt;=25,0.6,IF(B37&lt;=35,0.9,IF(B37&lt;=45,1,IF(B37&lt;=60,2,IF(B37&lt;=80,2.1,IF(B37&lt;=125,3.2,"out of range")))))))</f>
        <v>2</v>
      </c>
      <c r="C38" s="7" t="s">
        <v>14</v>
      </c>
      <c r="D38" s="2">
        <f>B38*28.349</f>
        <v>56.698</v>
      </c>
      <c r="E38" t="s">
        <v>87</v>
      </c>
    </row>
    <row r="39" spans="1:3" ht="12.75">
      <c r="A39" s="35" t="s">
        <v>114</v>
      </c>
      <c r="B39" s="11" t="str">
        <f>IF(B37&lt;=11,"Phoenix 10",IF(B37&lt;=25,"Phoenix 25",IF(B37&lt;=35,"Phoenix 35",IF(B37&lt;=45,"Phoenix 45",IF(B37&lt;=60,"Phoenix 60",IF(B37&lt;=80,"Phoenix 80",IF(B37&lt;=125,"Phoenix 125","out of range")))))))</f>
        <v>Phoenix 60</v>
      </c>
      <c r="C39" s="29" t="str">
        <f>IF(B25&gt;4,"WARNING: High voltage version required","Standard version Okay")</f>
        <v>Standard version Okay</v>
      </c>
    </row>
    <row r="40" spans="1:5" ht="12.75">
      <c r="A40" s="35" t="s">
        <v>13</v>
      </c>
      <c r="B40" s="7">
        <f>IF(B33&lt;=0.7,0.4,0.6)</f>
        <v>0.4</v>
      </c>
      <c r="C40" s="7" t="s">
        <v>14</v>
      </c>
      <c r="D40" s="2">
        <f>B40*28.349</f>
        <v>11.3396</v>
      </c>
      <c r="E40" t="s">
        <v>87</v>
      </c>
    </row>
    <row r="41" spans="1:2" ht="12.75">
      <c r="A41" s="35" t="s">
        <v>115</v>
      </c>
      <c r="B41" s="11" t="str">
        <f>IF(B33&lt;=0.7,"M5","Quantum 6")</f>
        <v>M5</v>
      </c>
    </row>
    <row r="42" spans="1:5" ht="12.75">
      <c r="A42" s="35" t="s">
        <v>68</v>
      </c>
      <c r="B42" s="6">
        <f>IF(B35&gt;3,0.71,IF(B25&gt;3,0.71,0))</f>
        <v>0</v>
      </c>
      <c r="C42" s="7" t="s">
        <v>14</v>
      </c>
      <c r="D42" s="2">
        <f>B42*28.349</f>
        <v>0</v>
      </c>
      <c r="E42" t="s">
        <v>87</v>
      </c>
    </row>
    <row r="43" spans="1:3" ht="12.75">
      <c r="A43" s="35" t="s">
        <v>62</v>
      </c>
      <c r="B43" s="10">
        <f>SUM(B36+B38+B40+B42)*1.2</f>
        <v>5.3999999999999995</v>
      </c>
      <c r="C43" s="7" t="s">
        <v>14</v>
      </c>
    </row>
    <row r="44" ht="12.75">
      <c r="A44" s="36"/>
    </row>
    <row r="45" spans="1:3" ht="12.75">
      <c r="A45" s="35" t="s">
        <v>91</v>
      </c>
      <c r="B45" s="10">
        <f>SUM(B20+B29+B43)</f>
        <v>53.454622</v>
      </c>
      <c r="C45" s="7" t="s">
        <v>14</v>
      </c>
    </row>
    <row r="46" spans="1:5" ht="12.75">
      <c r="A46" s="35" t="s">
        <v>116</v>
      </c>
      <c r="B46" s="10">
        <f>B45/($B$5/144)^1.5</f>
        <v>22.551168656250002</v>
      </c>
      <c r="C46" s="18" t="s">
        <v>64</v>
      </c>
      <c r="E46" s="1" t="str">
        <f>IF(B46&gt;21,"very difficult",IF(B46&gt;17,"expert sport",IF(B46&gt;13,"advanced sport",IF(B46&gt;10,"sport",IF(B46&gt;7,"easy sport","Too light for sport model")))))</f>
        <v>very difficult</v>
      </c>
    </row>
    <row r="47" spans="1:5" ht="12.75">
      <c r="A47" s="6"/>
      <c r="B47" s="10"/>
      <c r="C47" s="18"/>
      <c r="E47" s="1"/>
    </row>
    <row r="48" spans="1:4" ht="12.75">
      <c r="A48" s="38" t="s">
        <v>38</v>
      </c>
      <c r="B48" s="36"/>
      <c r="C48" s="36"/>
      <c r="D48" s="40"/>
    </row>
    <row r="49" spans="1:4" ht="12.75">
      <c r="A49" s="38"/>
      <c r="B49" s="41" t="s">
        <v>40</v>
      </c>
      <c r="C49" s="41" t="s">
        <v>36</v>
      </c>
      <c r="D49" s="40"/>
    </row>
    <row r="50" spans="1:5" ht="12.75">
      <c r="A50" s="38" t="s">
        <v>44</v>
      </c>
      <c r="B50" s="41" t="s">
        <v>41</v>
      </c>
      <c r="C50" s="41" t="s">
        <v>37</v>
      </c>
      <c r="D50" s="42" t="s">
        <v>119</v>
      </c>
      <c r="E50" s="1" t="s">
        <v>73</v>
      </c>
    </row>
    <row r="51" spans="1:10" ht="12.75">
      <c r="A51" s="43" t="s">
        <v>42</v>
      </c>
      <c r="B51" s="44">
        <f>B20</f>
        <v>30.94</v>
      </c>
      <c r="C51" s="44">
        <v>31.2</v>
      </c>
      <c r="D51" s="31" t="s">
        <v>74</v>
      </c>
      <c r="E51" s="80" t="s">
        <v>75</v>
      </c>
      <c r="F51" s="84"/>
      <c r="G51" s="84"/>
      <c r="H51" s="84"/>
      <c r="I51" s="85"/>
      <c r="J51" s="85"/>
    </row>
    <row r="52" spans="1:10" ht="12.75">
      <c r="A52" s="43" t="s">
        <v>86</v>
      </c>
      <c r="B52" s="40"/>
      <c r="C52" s="40"/>
      <c r="D52" s="31" t="str">
        <f>D51</f>
        <v>N/A</v>
      </c>
      <c r="E52" s="89" t="s">
        <v>46</v>
      </c>
      <c r="F52" s="89"/>
      <c r="G52" s="89"/>
      <c r="H52" s="89"/>
      <c r="I52" s="66"/>
      <c r="J52" s="66"/>
    </row>
    <row r="53" spans="1:10" ht="12.75">
      <c r="A53" s="43" t="s">
        <v>45</v>
      </c>
      <c r="B53" s="45">
        <f>B23</f>
        <v>5.95</v>
      </c>
      <c r="C53" s="32">
        <v>5.86</v>
      </c>
      <c r="D53" s="31"/>
      <c r="E53" s="80" t="s">
        <v>58</v>
      </c>
      <c r="F53" s="81"/>
      <c r="G53" s="81"/>
      <c r="H53" s="81"/>
      <c r="I53" s="82"/>
      <c r="J53" s="83"/>
    </row>
    <row r="54" spans="1:10" ht="12.75">
      <c r="A54" s="43" t="s">
        <v>70</v>
      </c>
      <c r="B54" s="45">
        <f>E23</f>
        <v>5.355</v>
      </c>
      <c r="C54" s="79" t="s">
        <v>69</v>
      </c>
      <c r="D54" s="45">
        <f>F23</f>
        <v>7.14</v>
      </c>
      <c r="E54" s="45" t="s">
        <v>71</v>
      </c>
      <c r="F54" s="67"/>
      <c r="G54" s="67"/>
      <c r="H54" s="67"/>
      <c r="I54" s="68"/>
      <c r="J54" s="18"/>
    </row>
    <row r="55" spans="1:10" ht="12.75">
      <c r="A55" s="43" t="s">
        <v>21</v>
      </c>
      <c r="B55" s="48">
        <f>B37</f>
        <v>46.04166666666667</v>
      </c>
      <c r="C55" s="57">
        <v>40</v>
      </c>
      <c r="D55" s="62"/>
      <c r="E55" s="56"/>
      <c r="F55" s="67"/>
      <c r="G55" s="67"/>
      <c r="H55" s="67"/>
      <c r="I55" s="68"/>
      <c r="J55" s="66"/>
    </row>
    <row r="56" spans="1:10" ht="12.75">
      <c r="A56" s="43" t="s">
        <v>22</v>
      </c>
      <c r="B56" s="48"/>
      <c r="C56" s="64" t="s">
        <v>59</v>
      </c>
      <c r="E56" s="63"/>
      <c r="F56" s="67"/>
      <c r="G56" s="67"/>
      <c r="H56" s="67"/>
      <c r="I56" s="68"/>
      <c r="J56" s="66"/>
    </row>
    <row r="57" spans="1:10" ht="12.75">
      <c r="A57" s="43" t="s">
        <v>23</v>
      </c>
      <c r="B57" s="46">
        <f>B53*0.25</f>
        <v>1.4875</v>
      </c>
      <c r="C57" s="45">
        <f>C53*0.25</f>
        <v>1.465</v>
      </c>
      <c r="D57" s="31"/>
      <c r="E57" s="80"/>
      <c r="F57" s="81"/>
      <c r="G57" s="81"/>
      <c r="H57" s="81"/>
      <c r="I57" s="82"/>
      <c r="J57" s="83"/>
    </row>
    <row r="58" spans="1:10" ht="12.75">
      <c r="A58" s="43" t="s">
        <v>43</v>
      </c>
      <c r="B58" s="47">
        <f>B25</f>
        <v>3</v>
      </c>
      <c r="C58" s="30">
        <f>B25</f>
        <v>3</v>
      </c>
      <c r="D58" s="28"/>
      <c r="E58" s="69"/>
      <c r="F58" s="66"/>
      <c r="G58" s="66"/>
      <c r="H58" s="66"/>
      <c r="I58" s="66"/>
      <c r="J58" s="66"/>
    </row>
    <row r="59" spans="1:10" ht="12.75">
      <c r="A59" s="43" t="s">
        <v>24</v>
      </c>
      <c r="B59" s="48">
        <f>B27</f>
        <v>3700</v>
      </c>
      <c r="C59" s="57">
        <v>3300</v>
      </c>
      <c r="D59" s="31"/>
      <c r="E59" s="80" t="s">
        <v>3</v>
      </c>
      <c r="F59" s="81"/>
      <c r="G59" s="81"/>
      <c r="H59" s="81"/>
      <c r="I59" s="82"/>
      <c r="J59" s="83"/>
    </row>
    <row r="60" spans="1:10" ht="12.75">
      <c r="A60" s="43" t="s">
        <v>107</v>
      </c>
      <c r="B60" s="45">
        <f>B28</f>
        <v>10.349639999999999</v>
      </c>
      <c r="C60" s="32">
        <v>9.7</v>
      </c>
      <c r="E60" s="70"/>
      <c r="F60" s="66"/>
      <c r="G60" s="66"/>
      <c r="H60" s="66"/>
      <c r="I60" s="66"/>
      <c r="J60" s="66"/>
    </row>
    <row r="61" spans="1:10" ht="12.75">
      <c r="A61" s="49" t="s">
        <v>83</v>
      </c>
      <c r="B61" s="50">
        <f>SUM(B53+B57+B60)*1.05</f>
        <v>18.676497</v>
      </c>
      <c r="C61" s="3">
        <f>SUM(C53+C57+C60)*1.05</f>
        <v>17.87625</v>
      </c>
      <c r="D61" s="27"/>
      <c r="E61" s="66"/>
      <c r="F61" s="66"/>
      <c r="G61" s="66"/>
      <c r="H61" s="66"/>
      <c r="I61" s="66"/>
      <c r="J61" s="66"/>
    </row>
    <row r="62" spans="1:10" ht="12.75">
      <c r="A62" s="43" t="s">
        <v>84</v>
      </c>
      <c r="B62" s="47" t="str">
        <f>B39</f>
        <v>Phoenix 60</v>
      </c>
      <c r="C62" s="58" t="s">
        <v>60</v>
      </c>
      <c r="D62" s="31"/>
      <c r="E62" s="80" t="s">
        <v>4</v>
      </c>
      <c r="F62" s="84"/>
      <c r="G62" s="84"/>
      <c r="H62" s="84"/>
      <c r="I62" s="85"/>
      <c r="J62" s="83"/>
    </row>
    <row r="63" spans="1:10" ht="12.75">
      <c r="A63" s="43" t="s">
        <v>85</v>
      </c>
      <c r="B63" s="47">
        <f>B37</f>
        <v>46.04166666666667</v>
      </c>
      <c r="C63" s="76">
        <v>45</v>
      </c>
      <c r="D63" s="40"/>
      <c r="E63" s="40" t="s">
        <v>49</v>
      </c>
      <c r="F63" s="75"/>
      <c r="G63" s="75"/>
      <c r="H63" s="75"/>
      <c r="I63" s="74"/>
      <c r="J63" s="18"/>
    </row>
    <row r="64" spans="1:10" ht="12.75">
      <c r="A64" s="43" t="s">
        <v>108</v>
      </c>
      <c r="B64" s="47" t="str">
        <f>IF(C39="WARNING: High voltage version required","Yes","No")</f>
        <v>No</v>
      </c>
      <c r="C64" s="58" t="s">
        <v>56</v>
      </c>
      <c r="D64" s="59"/>
      <c r="E64" s="80" t="s">
        <v>54</v>
      </c>
      <c r="F64" s="84"/>
      <c r="G64" s="84"/>
      <c r="H64" s="84"/>
      <c r="I64" s="85"/>
      <c r="J64" s="85"/>
    </row>
    <row r="65" spans="1:10" ht="12.75">
      <c r="A65" s="43" t="s">
        <v>25</v>
      </c>
      <c r="B65" s="53">
        <f>B38</f>
        <v>2</v>
      </c>
      <c r="C65" s="32">
        <v>1</v>
      </c>
      <c r="D65" s="60"/>
      <c r="E65" s="59" t="s">
        <v>55</v>
      </c>
      <c r="F65" s="59"/>
      <c r="G65" s="59"/>
      <c r="H65" s="59"/>
      <c r="I65" s="59"/>
      <c r="J65" s="59"/>
    </row>
    <row r="66" spans="1:10" ht="12.75">
      <c r="A66" s="43" t="s">
        <v>26</v>
      </c>
      <c r="B66" s="52" t="str">
        <f>B34</f>
        <v>HS-81/82</v>
      </c>
      <c r="C66" s="58" t="s">
        <v>61</v>
      </c>
      <c r="D66" s="40"/>
      <c r="E66" s="80" t="s">
        <v>97</v>
      </c>
      <c r="F66" s="84"/>
      <c r="G66" s="84"/>
      <c r="H66" s="84"/>
      <c r="I66" s="85"/>
      <c r="J66" s="85"/>
    </row>
    <row r="67" spans="1:10" ht="12.75">
      <c r="A67" s="43" t="s">
        <v>27</v>
      </c>
      <c r="B67" s="47">
        <f>B35</f>
        <v>3</v>
      </c>
      <c r="C67" s="76">
        <v>3</v>
      </c>
      <c r="D67" s="31"/>
      <c r="E67" s="80"/>
      <c r="F67" s="84"/>
      <c r="G67" s="84"/>
      <c r="H67" s="84"/>
      <c r="I67" s="85"/>
      <c r="J67" s="85"/>
    </row>
    <row r="68" spans="1:10" ht="12.75">
      <c r="A68" s="43" t="s">
        <v>28</v>
      </c>
      <c r="B68" s="51">
        <f>B36</f>
        <v>2.0999999999999996</v>
      </c>
      <c r="C68" s="65">
        <v>2.1</v>
      </c>
      <c r="D68" s="40"/>
      <c r="E68" s="73" t="s">
        <v>35</v>
      </c>
      <c r="F68" s="69"/>
      <c r="G68" s="69"/>
      <c r="H68" s="69"/>
      <c r="I68" s="69"/>
      <c r="J68" s="69"/>
    </row>
    <row r="69" spans="1:10" ht="12.75">
      <c r="A69" s="43" t="s">
        <v>29</v>
      </c>
      <c r="B69" s="52" t="str">
        <f>B41</f>
        <v>M5</v>
      </c>
      <c r="C69" s="58" t="s">
        <v>0</v>
      </c>
      <c r="D69" s="31"/>
      <c r="E69" s="80" t="s">
        <v>1</v>
      </c>
      <c r="F69" s="85"/>
      <c r="G69" s="85"/>
      <c r="H69" s="85"/>
      <c r="I69" s="85"/>
      <c r="J69" s="85"/>
    </row>
    <row r="70" spans="1:10" ht="12.75">
      <c r="A70" s="43" t="s">
        <v>30</v>
      </c>
      <c r="B70" s="51">
        <f>B40</f>
        <v>0.4</v>
      </c>
      <c r="C70" s="90">
        <v>0.25</v>
      </c>
      <c r="D70" s="28"/>
      <c r="E70" s="71" t="s">
        <v>100</v>
      </c>
      <c r="F70" s="66"/>
      <c r="G70" s="66"/>
      <c r="H70" s="66"/>
      <c r="I70" s="66"/>
      <c r="J70" s="66"/>
    </row>
    <row r="71" spans="1:10" ht="12.75">
      <c r="A71" s="43" t="s">
        <v>31</v>
      </c>
      <c r="B71" s="53">
        <f>B42</f>
        <v>0</v>
      </c>
      <c r="C71" s="32">
        <v>0</v>
      </c>
      <c r="D71" s="31"/>
      <c r="E71" s="80" t="s">
        <v>2</v>
      </c>
      <c r="F71" s="85"/>
      <c r="G71" s="85"/>
      <c r="H71" s="85"/>
      <c r="I71" s="85"/>
      <c r="J71" s="85"/>
    </row>
    <row r="72" spans="1:10" ht="12.75">
      <c r="A72" s="49" t="s">
        <v>63</v>
      </c>
      <c r="B72" s="54">
        <f>(B65+B68+B70+B71)*1.2</f>
        <v>5.3999999999999995</v>
      </c>
      <c r="C72" s="54">
        <f>(C65+C68+C70+C71)*1.2</f>
        <v>4.02</v>
      </c>
      <c r="D72" s="40"/>
      <c r="E72" s="70"/>
      <c r="F72" s="70"/>
      <c r="G72" s="66"/>
      <c r="H72" s="66"/>
      <c r="I72" s="66"/>
      <c r="J72" s="66"/>
    </row>
    <row r="73" spans="1:10" ht="12.75">
      <c r="A73" s="49" t="s">
        <v>102</v>
      </c>
      <c r="B73" s="50">
        <f>B51+B61+B72</f>
        <v>55.016497</v>
      </c>
      <c r="C73" s="50">
        <f>C51+C61+C72</f>
        <v>53.09625</v>
      </c>
      <c r="D73" s="61"/>
      <c r="E73" s="72"/>
      <c r="F73" s="70"/>
      <c r="G73" s="66"/>
      <c r="H73" s="66"/>
      <c r="I73" s="66"/>
      <c r="J73" s="66"/>
    </row>
    <row r="74" spans="1:6" ht="12.75">
      <c r="A74" s="40"/>
      <c r="B74" s="40"/>
      <c r="C74" s="40"/>
      <c r="D74" s="40"/>
      <c r="E74" s="40"/>
      <c r="F74" s="40"/>
    </row>
    <row r="75" spans="1:6" ht="12.75">
      <c r="A75" s="44" t="s">
        <v>9</v>
      </c>
      <c r="B75" s="44"/>
      <c r="C75" s="40"/>
      <c r="D75" s="40"/>
      <c r="E75" s="40"/>
      <c r="F75" s="40"/>
    </row>
    <row r="76" spans="1:6" ht="12.75">
      <c r="A76" s="43" t="s">
        <v>104</v>
      </c>
      <c r="B76" s="43">
        <f>B18</f>
        <v>386.75</v>
      </c>
      <c r="C76" s="40">
        <f>B18</f>
        <v>386.75</v>
      </c>
      <c r="D76" s="40"/>
      <c r="E76" s="40"/>
      <c r="F76" s="40"/>
    </row>
    <row r="77" spans="1:6" ht="12.75">
      <c r="A77" s="43" t="s">
        <v>105</v>
      </c>
      <c r="B77" s="55">
        <f>B73/16</f>
        <v>3.4385310625</v>
      </c>
      <c r="C77" s="55">
        <f>C73/16</f>
        <v>3.318515625</v>
      </c>
      <c r="D77" s="40"/>
      <c r="E77" s="40"/>
      <c r="F77" s="40"/>
    </row>
    <row r="78" spans="1:6" ht="12.75">
      <c r="A78" s="43" t="s">
        <v>106</v>
      </c>
      <c r="B78" s="45">
        <f>B76/B77</f>
        <v>112.4753544377789</v>
      </c>
      <c r="C78" s="45">
        <f>C76/C77</f>
        <v>116.543070367493</v>
      </c>
      <c r="D78" s="40"/>
      <c r="E78" s="40" t="s">
        <v>5</v>
      </c>
      <c r="F78" s="40"/>
    </row>
    <row r="79" spans="1:6" ht="12.75">
      <c r="A79" s="43" t="s">
        <v>120</v>
      </c>
      <c r="B79" s="55">
        <f>B73/(B5/144)^1.5</f>
        <v>23.210084671875002</v>
      </c>
      <c r="C79" s="55">
        <f>C73/(B5/144)^1.5</f>
        <v>22.39998046875</v>
      </c>
      <c r="D79" s="40" t="s">
        <v>64</v>
      </c>
      <c r="E79" s="44" t="str">
        <f>IF(C79&gt;21,"very difficult",IF(C79&gt;17,"expert sport",IF(C79&gt;13,"advanced sport",IF(C79&gt;10,"sport",IF(C79&gt;7,"easy sport","Too light for sport model")))))</f>
        <v>very difficult</v>
      </c>
      <c r="F79" s="40"/>
    </row>
    <row r="80" spans="1:6" ht="12.75">
      <c r="A80" s="43" t="s">
        <v>109</v>
      </c>
      <c r="B80" s="55">
        <f>B73/(B5/144)</f>
        <v>30.9467795625</v>
      </c>
      <c r="C80" s="55">
        <f>C73/(B5/144)</f>
        <v>29.866640625</v>
      </c>
      <c r="D80" s="40" t="s">
        <v>101</v>
      </c>
      <c r="E80" s="40"/>
      <c r="F80" s="40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36.75" customHeight="1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</sheetData>
  <mergeCells count="15">
    <mergeCell ref="E64:J64"/>
    <mergeCell ref="E69:J69"/>
    <mergeCell ref="E66:J66"/>
    <mergeCell ref="E67:J67"/>
    <mergeCell ref="E71:J71"/>
    <mergeCell ref="E59:J59"/>
    <mergeCell ref="E62:J62"/>
    <mergeCell ref="B2:F3"/>
    <mergeCell ref="D6:F7"/>
    <mergeCell ref="D8:F10"/>
    <mergeCell ref="D25:G25"/>
    <mergeCell ref="E52:H52"/>
    <mergeCell ref="E51:J51"/>
    <mergeCell ref="E53:J53"/>
    <mergeCell ref="E57:J57"/>
  </mergeCells>
  <printOptions/>
  <pageMargins left="0.5" right="0.5" top="0.5" bottom="0.5" header="0.5" footer="0.5"/>
  <pageSetup fitToHeight="2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Dublin Elementary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Kenneth Myers</cp:lastModifiedBy>
  <cp:lastPrinted>2006-01-27T17:50:39Z</cp:lastPrinted>
  <dcterms:created xsi:type="dcterms:W3CDTF">2006-01-05T19:55:09Z</dcterms:created>
  <cp:category/>
  <cp:version/>
  <cp:contentType/>
  <cp:contentStatus/>
</cp:coreProperties>
</file>